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uv\"/>
    </mc:Choice>
  </mc:AlternateContent>
  <bookViews>
    <workbookView xWindow="360" yWindow="105" windowWidth="15600" windowHeight="9270" activeTab="4"/>
  </bookViews>
  <sheets>
    <sheet name="Notación" sheetId="8" r:id="rId1"/>
    <sheet name="Modelo (1)" sheetId="5" r:id="rId2"/>
    <sheet name="Modelo (1sol)" sheetId="14" state="hidden" r:id="rId3"/>
    <sheet name="Modelo (2)" sheetId="7" r:id="rId4"/>
    <sheet name="Modelo (3)" sheetId="10" r:id="rId5"/>
    <sheet name="Datos España" sheetId="9" r:id="rId6"/>
    <sheet name="..." sheetId="3" r:id="rId7"/>
    <sheet name="Modelo (4)" sheetId="13" r:id="rId8"/>
  </sheets>
  <externalReferences>
    <externalReference r:id="rId9"/>
  </externalReferences>
  <definedNames>
    <definedName name="alpha" localSheetId="7">'Modelo (4)'!$D$31</definedName>
    <definedName name="alpha">Notación!$M$10</definedName>
    <definedName name="_xlnm.Print_Area" localSheetId="1">'Modelo (1)'!$A$1:$R$36</definedName>
    <definedName name="_xlnm.Print_Area" localSheetId="2">'Modelo (1sol)'!$A$1:$R$36</definedName>
    <definedName name="_xlnm.Print_Area" localSheetId="7">'Modelo (4)'!$A$1:$V$36</definedName>
    <definedName name="B_0">'Modelo (4)'!$D$18</definedName>
    <definedName name="beta" localSheetId="1">'Modelo (1)'!$D$5</definedName>
    <definedName name="beta" localSheetId="2">'Modelo (1sol)'!$D$5</definedName>
    <definedName name="beta" localSheetId="3">'Modelo (2)'!$D$5</definedName>
    <definedName name="beta" localSheetId="4">'Modelo (3)'!$D$5</definedName>
    <definedName name="beta" localSheetId="7">'Modelo (4)'!$D$5</definedName>
    <definedName name="beta">Notación!$M$11</definedName>
    <definedName name="beta2" localSheetId="2">#REF!</definedName>
    <definedName name="beta2">#REF!</definedName>
    <definedName name="C_0" localSheetId="1">'Modelo (1)'!$M$5</definedName>
    <definedName name="C_0" localSheetId="2">'Modelo (1sol)'!$M$5</definedName>
    <definedName name="C_0" localSheetId="3">'Modelo (2)'!$M$5</definedName>
    <definedName name="C_0" localSheetId="4">'Modelo (3)'!$M$5</definedName>
    <definedName name="C_0" localSheetId="7">'Modelo (4)'!$M$5</definedName>
    <definedName name="C_0_2" localSheetId="2">#REF!</definedName>
    <definedName name="C_0_2">#REF!</definedName>
    <definedName name="C_t" localSheetId="1">'Modelo (1)'!$M$5:$M$30</definedName>
    <definedName name="C_t" localSheetId="2">'Modelo (1sol)'!$M$5:$M$30</definedName>
    <definedName name="C_t" localSheetId="3">'Modelo (2)'!$M$5:$M$30</definedName>
    <definedName name="C_t" localSheetId="4">'Modelo (3)'!$M$5:$M$19</definedName>
    <definedName name="C_t" localSheetId="7">'Modelo (4)'!$M$5:$M$30</definedName>
    <definedName name="C_t">'Datos España'!$C$8:$C$22</definedName>
    <definedName name="C_tlag1" localSheetId="2">'Modelo (1sol)'!#REF!</definedName>
    <definedName name="C_tlag1">'Modelo (1)'!#REF!</definedName>
    <definedName name="delta" localSheetId="1">'Modelo (1)'!$D$9</definedName>
    <definedName name="delta" localSheetId="2">'Modelo (1sol)'!$D$9</definedName>
    <definedName name="delta" localSheetId="3">'Modelo (2)'!$D$9</definedName>
    <definedName name="delta" localSheetId="4">'Modelo (3)'!$D$9</definedName>
    <definedName name="delta" localSheetId="7">'Modelo (4)'!$D$7</definedName>
    <definedName name="delta1" localSheetId="2">#REF!</definedName>
    <definedName name="delta1">#REF!</definedName>
    <definedName name="delta2" localSheetId="2">#REF!</definedName>
    <definedName name="delta2">#REF!</definedName>
    <definedName name="gamma" localSheetId="7">'Modelo (4)'!$D$14</definedName>
    <definedName name="gamma">Notación!$M$12</definedName>
    <definedName name="K_i">'Modelo (4)'!$D$19</definedName>
    <definedName name="K_t" localSheetId="7">'Modelo (4)'!$P$5:$P$30</definedName>
    <definedName name="K_t">'Datos España'!$D$8:$D$22</definedName>
    <definedName name="K_tlag1" localSheetId="2">'Modelo (1sol)'!#REF!</definedName>
    <definedName name="K_tlag1">'Modelo (1)'!#REF!</definedName>
    <definedName name="KD" localSheetId="2">#REF!</definedName>
    <definedName name="KD">#REF!</definedName>
    <definedName name="KD_t">'Modelo (4)'!$AH$5:$AH$30</definedName>
    <definedName name="L_0">'Modelo (4)'!$X$4</definedName>
    <definedName name="L_t">'Modelo (4)'!$O$5:$O$30</definedName>
    <definedName name="lambda_0">'Modelo (4)'!$D$22</definedName>
    <definedName name="LD" localSheetId="2">#REF!</definedName>
    <definedName name="LD">#REF!</definedName>
    <definedName name="LD_t">'Modelo (4)'!$AG$5:$AG$30</definedName>
    <definedName name="LK_t">'Modelo (4)'!$Q$5:$Q$30</definedName>
    <definedName name="M_t">'Datos España'!$F$8:$F$22</definedName>
    <definedName name="NH">'Modelo (4)'!$D$24</definedName>
    <definedName name="OLE_LINK1" localSheetId="0">Notación!$B$2</definedName>
    <definedName name="P" localSheetId="2">#REF!</definedName>
    <definedName name="P">#REF!</definedName>
    <definedName name="P_t">'Modelo (4)'!$AJ$5:$AJ$30</definedName>
    <definedName name="rho" localSheetId="1">'Modelo (1)'!$D$13</definedName>
    <definedName name="rho" localSheetId="2">'Modelo (1sol)'!$D$13</definedName>
    <definedName name="rho" localSheetId="3">'Modelo (2)'!$D$13</definedName>
    <definedName name="rho" localSheetId="4">'Modelo (3)'!$D$13</definedName>
    <definedName name="rho" localSheetId="7">'Modelo (4)'!$D$10</definedName>
    <definedName name="rho">Notación!$M$13</definedName>
    <definedName name="rho_1" localSheetId="2">#REF!</definedName>
    <definedName name="rho_1">#REF!</definedName>
    <definedName name="rho_2" localSheetId="2">#REF!</definedName>
    <definedName name="rho_2">#REF!</definedName>
    <definedName name="solver_adj" localSheetId="3" hidden="1">'Modelo (2)'!$M$5:$M$30</definedName>
    <definedName name="solver_adj" localSheetId="4" hidden="1">'Modelo (3)'!$B$9</definedName>
    <definedName name="solver_cvg" localSheetId="1" hidden="1">0.0001</definedName>
    <definedName name="solver_cvg" localSheetId="2" hidden="1">0.0001</definedName>
    <definedName name="solver_cvg" localSheetId="3" hidden="1">0.000001</definedName>
    <definedName name="solver_cvg" localSheetId="4" hidden="1">0.0001</definedName>
    <definedName name="solver_cvg" localSheetId="7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7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itr" localSheetId="1" hidden="1">100</definedName>
    <definedName name="solver_itr" localSheetId="2" hidden="1">100</definedName>
    <definedName name="solver_itr" localSheetId="3" hidden="1">1000</definedName>
    <definedName name="solver_itr" localSheetId="4" hidden="1">100</definedName>
    <definedName name="solver_itr" localSheetId="7" hidden="1">100</definedName>
    <definedName name="solver_lhs1" localSheetId="1" hidden="1">'Modelo (1)'!#REF!</definedName>
    <definedName name="solver_lhs1" localSheetId="2" hidden="1">'Modelo (1sol)'!#REF!</definedName>
    <definedName name="solver_lhs1" localSheetId="3" hidden="1">'Modelo (2)'!$O$35</definedName>
    <definedName name="solver_lhs1" localSheetId="4" hidden="1">'Modelo (3)'!$N$23</definedName>
    <definedName name="solver_lhs1" localSheetId="7" hidden="1">'Modelo (4)'!#REF!</definedName>
    <definedName name="solver_lhs2" localSheetId="1" hidden="1">'Modelo (1)'!#REF!</definedName>
    <definedName name="solver_lhs2" localSheetId="2" hidden="1">'Modelo (1sol)'!#REF!</definedName>
    <definedName name="solver_lhs2" localSheetId="3" hidden="1">'Modelo (2)'!$S$32</definedName>
    <definedName name="solver_lhs2" localSheetId="4" hidden="1">'Modelo (3)'!$N$25</definedName>
    <definedName name="solver_lhs2" localSheetId="7" hidden="1">'Modelo (4)'!#REF!</definedName>
    <definedName name="solver_lhs3" localSheetId="3" hidden="1">'Modelo (2)'!$T$32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4" hidden="1">2</definedName>
    <definedName name="solver_lin" localSheetId="7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7" hidden="1">2</definedName>
    <definedName name="solver_num" localSheetId="1" hidden="1">0</definedName>
    <definedName name="solver_num" localSheetId="2" hidden="1">0</definedName>
    <definedName name="solver_num" localSheetId="3" hidden="1">1</definedName>
    <definedName name="solver_num" localSheetId="4" hidden="1">2</definedName>
    <definedName name="solver_num" localSheetId="7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opt" localSheetId="3" hidden="1">'Modelo (2)'!$N$32</definedName>
    <definedName name="solver_opt" localSheetId="4" hidden="1">'Modelo (3)'!$O$24</definedName>
    <definedName name="solver_pre" localSheetId="1" hidden="1">0.000001</definedName>
    <definedName name="solver_pre" localSheetId="2" hidden="1">0.000001</definedName>
    <definedName name="solver_pre" localSheetId="3" hidden="1">0.0000001</definedName>
    <definedName name="solver_pre" localSheetId="4" hidden="1">0.000001</definedName>
    <definedName name="solver_pre" localSheetId="7" hidden="1">0.000001</definedName>
    <definedName name="solver_rel1" localSheetId="1" hidden="1">2</definedName>
    <definedName name="solver_rel1" localSheetId="2" hidden="1">2</definedName>
    <definedName name="solver_rel1" localSheetId="3" hidden="1">2</definedName>
    <definedName name="solver_rel1" localSheetId="4" hidden="1">3</definedName>
    <definedName name="solver_rel1" localSheetId="7" hidden="1">2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7" hidden="1">3</definedName>
    <definedName name="solver_rel3" localSheetId="3" hidden="1">2</definedName>
    <definedName name="solver_rhs1" localSheetId="1" hidden="1">0</definedName>
    <definedName name="solver_rhs1" localSheetId="2" hidden="1">0</definedName>
    <definedName name="solver_rhs1" localSheetId="3" hidden="1">0</definedName>
    <definedName name="solver_rhs1" localSheetId="4" hidden="1">0</definedName>
    <definedName name="solver_rhs1" localSheetId="7" hidden="1">0</definedName>
    <definedName name="solver_rhs2" localSheetId="1" hidden="1">0.01</definedName>
    <definedName name="solver_rhs2" localSheetId="2" hidden="1">0.01</definedName>
    <definedName name="solver_rhs2" localSheetId="3" hidden="1">0</definedName>
    <definedName name="solver_rhs2" localSheetId="4" hidden="1">0</definedName>
    <definedName name="solver_rhs2" localSheetId="7" hidden="1">0.01</definedName>
    <definedName name="solver_rhs3" localSheetId="3" hidden="1">0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7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im" localSheetId="4" hidden="1">100</definedName>
    <definedName name="solver_tim" localSheetId="7" hidden="1">100</definedName>
    <definedName name="solver_tol" localSheetId="1" hidden="1">0.05</definedName>
    <definedName name="solver_tol" localSheetId="2" hidden="1">0.05</definedName>
    <definedName name="solver_tol" localSheetId="3" hidden="1">0.0001</definedName>
    <definedName name="solver_tol" localSheetId="4" hidden="1">0.05</definedName>
    <definedName name="solver_tol" localSheetId="7" hidden="1">0.05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2</definedName>
    <definedName name="solver_typ" localSheetId="7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7" hidden="1">0</definedName>
    <definedName name="t" localSheetId="1">'Modelo (1)'!$L$5:$L$30</definedName>
    <definedName name="t" localSheetId="2">'Modelo (1sol)'!$L$5:$L$30</definedName>
    <definedName name="t" localSheetId="3">'Modelo (2)'!$L$5:$L$30</definedName>
    <definedName name="t" localSheetId="4">'Modelo (3)'!$L$5:$L$19</definedName>
    <definedName name="t" localSheetId="7">'Modelo (4)'!$L$5:$L$30</definedName>
    <definedName name="theta_0">'Modelo (4)'!$D$23</definedName>
    <definedName name="U_t" localSheetId="1">'Modelo (1)'!$O$5:$O$30</definedName>
    <definedName name="U_t" localSheetId="2">'Modelo (1sol)'!$O$5:$O$30</definedName>
    <definedName name="U_t" localSheetId="3">'Modelo (2)'!$O$5:$O$30</definedName>
    <definedName name="U_t" localSheetId="4">'Modelo (3)'!$O$5:$O$19</definedName>
    <definedName name="U_t" localSheetId="7">'Modelo (4)'!$S$5:$S$30</definedName>
    <definedName name="w_fixed">'Modelo (4)'!$D$27</definedName>
    <definedName name="w_t">'Modelo (4)'!$N$5:$N$30</definedName>
    <definedName name="X_1">Notación!$M$5</definedName>
    <definedName name="X_2">Notación!$M$6</definedName>
    <definedName name="X_3">Notación!$M$7</definedName>
    <definedName name="X_4">Notación!$M$8</definedName>
    <definedName name="X_t" localSheetId="7">'Modelo (4)'!$AI$5:$AI$30</definedName>
    <definedName name="X_t">Notación!$M$5:$M$8</definedName>
    <definedName name="Xt" localSheetId="5">'Datos España'!$E$8:$E$22</definedName>
    <definedName name="Y_0" localSheetId="2">'Modelo (1sol)'!$N$5</definedName>
    <definedName name="Y_0" localSheetId="4">'Modelo (3)'!$N$5</definedName>
    <definedName name="Y_0" localSheetId="7">'Modelo (4)'!$R$5</definedName>
    <definedName name="Y_0">'Modelo (1)'!$N$5</definedName>
    <definedName name="Y_t" localSheetId="1">'Modelo (1)'!$N$5:$N$30</definedName>
    <definedName name="Y_t" localSheetId="2">'Modelo (1sol)'!$N$5:$N$30</definedName>
    <definedName name="Y_t" localSheetId="3">'Modelo (2)'!$N$5:$N$30</definedName>
    <definedName name="Y_t" localSheetId="4">'Modelo (3)'!$N$5:$N$19</definedName>
    <definedName name="Y_t" localSheetId="7">'Modelo (4)'!$R$5:$R$30</definedName>
    <definedName name="Y_t">'Datos España'!$G$8:$G$22</definedName>
  </definedNames>
  <calcPr calcId="152511"/>
</workbook>
</file>

<file path=xl/calcChain.xml><?xml version="1.0" encoding="utf-8"?>
<calcChain xmlns="http://schemas.openxmlformats.org/spreadsheetml/2006/main">
  <c r="G8" i="9" l="1"/>
  <c r="N34" i="5" a="1"/>
  <c r="N34" i="5"/>
  <c r="R5" i="5" a="1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Q5" i="5" a="1"/>
  <c r="Q6" i="5" s="1"/>
  <c r="O5" i="5" a="1"/>
  <c r="O6" i="5" s="1"/>
  <c r="O5" i="5"/>
  <c r="O8" i="5"/>
  <c r="O9" i="5"/>
  <c r="O12" i="5"/>
  <c r="O13" i="5"/>
  <c r="O16" i="5"/>
  <c r="O17" i="5"/>
  <c r="O20" i="5"/>
  <c r="O21" i="5"/>
  <c r="O24" i="5"/>
  <c r="O25" i="5"/>
  <c r="O28" i="5"/>
  <c r="O29" i="5"/>
  <c r="M5" i="5" a="1"/>
  <c r="I10" i="8"/>
  <c r="I8" i="8"/>
  <c r="I13" i="8"/>
  <c r="I12" i="8"/>
  <c r="I11" i="8"/>
  <c r="I9" i="8"/>
  <c r="I7" i="8"/>
  <c r="I6" i="8"/>
  <c r="I5" i="8"/>
  <c r="I4" i="8"/>
  <c r="I3" i="8"/>
  <c r="N30" i="14"/>
  <c r="N29" i="14"/>
  <c r="N28" i="14"/>
  <c r="R28" i="14" s="1"/>
  <c r="N27" i="14"/>
  <c r="R27" i="14" s="1"/>
  <c r="N26" i="14"/>
  <c r="N25" i="14"/>
  <c r="N24" i="14"/>
  <c r="R24" i="14" s="1"/>
  <c r="N23" i="14"/>
  <c r="R23" i="14" s="1"/>
  <c r="N22" i="14"/>
  <c r="N21" i="14"/>
  <c r="N20" i="14"/>
  <c r="R20" i="14" s="1"/>
  <c r="N19" i="14"/>
  <c r="R19" i="14" s="1"/>
  <c r="N18" i="14"/>
  <c r="N17" i="14"/>
  <c r="N16" i="14"/>
  <c r="R16" i="14" s="1"/>
  <c r="N15" i="14"/>
  <c r="R15" i="14" s="1"/>
  <c r="N13" i="14"/>
  <c r="D13" i="14"/>
  <c r="N12" i="14"/>
  <c r="R12" i="14" s="1"/>
  <c r="N11" i="14"/>
  <c r="R11" i="14" s="1"/>
  <c r="N10" i="14"/>
  <c r="N9" i="14"/>
  <c r="R9" i="14" s="1"/>
  <c r="D9" i="14"/>
  <c r="R8" i="14"/>
  <c r="N8" i="14"/>
  <c r="N7" i="14"/>
  <c r="R7" i="14" s="1"/>
  <c r="R6" i="14"/>
  <c r="N6" i="14"/>
  <c r="R5" i="14"/>
  <c r="D5" i="14"/>
  <c r="AH33" i="13"/>
  <c r="AG33" i="13"/>
  <c r="D32" i="13"/>
  <c r="N30" i="13"/>
  <c r="N29" i="13"/>
  <c r="N28" i="13"/>
  <c r="N27" i="13"/>
  <c r="N26" i="13"/>
  <c r="N25" i="13"/>
  <c r="N24" i="13"/>
  <c r="N23" i="13"/>
  <c r="N22" i="13"/>
  <c r="D22" i="13"/>
  <c r="N21" i="13"/>
  <c r="N20" i="13"/>
  <c r="N19" i="13"/>
  <c r="N18" i="13"/>
  <c r="N17" i="13"/>
  <c r="N16" i="13"/>
  <c r="N15" i="13"/>
  <c r="D15" i="13"/>
  <c r="N14" i="13"/>
  <c r="N13" i="13"/>
  <c r="N12" i="13"/>
  <c r="N11" i="13"/>
  <c r="N10" i="13"/>
  <c r="D10" i="13"/>
  <c r="D18" i="13" s="1"/>
  <c r="N9" i="13"/>
  <c r="N8" i="13"/>
  <c r="N7" i="13"/>
  <c r="D7" i="13"/>
  <c r="N6" i="13"/>
  <c r="Q5" i="13"/>
  <c r="N5" i="13"/>
  <c r="D5" i="13"/>
  <c r="M5" i="10"/>
  <c r="N5" i="10" s="1"/>
  <c r="N15" i="5"/>
  <c r="Q29" i="5" l="1"/>
  <c r="Q25" i="5"/>
  <c r="Q21" i="5"/>
  <c r="Q17" i="5"/>
  <c r="Q13" i="5"/>
  <c r="Q9" i="5"/>
  <c r="Q5" i="5"/>
  <c r="Q28" i="5"/>
  <c r="Q24" i="5"/>
  <c r="Q20" i="5"/>
  <c r="Q16" i="5"/>
  <c r="Q12" i="5"/>
  <c r="Q8" i="5"/>
  <c r="Q27" i="5"/>
  <c r="Q23" i="5"/>
  <c r="Q19" i="5"/>
  <c r="Q15" i="5"/>
  <c r="Q11" i="5"/>
  <c r="Q7" i="5"/>
  <c r="Q30" i="5"/>
  <c r="Q26" i="5"/>
  <c r="Q22" i="5"/>
  <c r="Q18" i="5"/>
  <c r="Q14" i="5"/>
  <c r="Q10" i="5"/>
  <c r="O27" i="5"/>
  <c r="O23" i="5"/>
  <c r="O19" i="5"/>
  <c r="O15" i="5"/>
  <c r="O11" i="5"/>
  <c r="O7" i="5"/>
  <c r="O30" i="5"/>
  <c r="O26" i="5"/>
  <c r="O22" i="5"/>
  <c r="O18" i="5"/>
  <c r="O14" i="5"/>
  <c r="O10" i="5"/>
  <c r="R17" i="14"/>
  <c r="R21" i="14"/>
  <c r="R25" i="14"/>
  <c r="R29" i="14"/>
  <c r="R10" i="14"/>
  <c r="R18" i="14"/>
  <c r="R22" i="14"/>
  <c r="R26" i="14"/>
  <c r="R30" i="14"/>
  <c r="N36" i="14" a="1"/>
  <c r="N36" i="14" s="1"/>
  <c r="R13" i="14"/>
  <c r="M5" i="14" a="1"/>
  <c r="R14" i="14"/>
  <c r="O5" i="13" a="1"/>
  <c r="D13" i="10"/>
  <c r="D9" i="10"/>
  <c r="D5" i="10" s="1"/>
  <c r="R32" i="14" l="1"/>
  <c r="M30" i="14"/>
  <c r="M28" i="14"/>
  <c r="M26" i="14"/>
  <c r="M24" i="14"/>
  <c r="M22" i="14"/>
  <c r="M20" i="14"/>
  <c r="M18" i="14"/>
  <c r="M16" i="14"/>
  <c r="M14" i="14"/>
  <c r="M12" i="14"/>
  <c r="M10" i="14"/>
  <c r="M8" i="14"/>
  <c r="M6" i="14"/>
  <c r="M29" i="14"/>
  <c r="M27" i="14"/>
  <c r="M25" i="14"/>
  <c r="M23" i="14"/>
  <c r="M21" i="14"/>
  <c r="M19" i="14"/>
  <c r="M17" i="14"/>
  <c r="M15" i="14"/>
  <c r="M13" i="14"/>
  <c r="M11" i="14"/>
  <c r="M9" i="14"/>
  <c r="M7" i="14"/>
  <c r="M5" i="14"/>
  <c r="O30" i="13"/>
  <c r="O28" i="13"/>
  <c r="O26" i="13"/>
  <c r="O24" i="13"/>
  <c r="O22" i="13"/>
  <c r="O20" i="13"/>
  <c r="O18" i="13"/>
  <c r="O16" i="13"/>
  <c r="O14" i="13"/>
  <c r="O12" i="13"/>
  <c r="O10" i="13"/>
  <c r="O8" i="13"/>
  <c r="O6" i="13"/>
  <c r="O29" i="13"/>
  <c r="O27" i="13"/>
  <c r="O25" i="13"/>
  <c r="O23" i="13"/>
  <c r="O21" i="13"/>
  <c r="O19" i="13"/>
  <c r="O17" i="13"/>
  <c r="O15" i="13"/>
  <c r="O13" i="13"/>
  <c r="O11" i="13"/>
  <c r="O9" i="13"/>
  <c r="O7" i="13"/>
  <c r="O5" i="13"/>
  <c r="M7" i="10"/>
  <c r="N7" i="10" s="1"/>
  <c r="M9" i="10"/>
  <c r="N9" i="10" s="1"/>
  <c r="M11" i="10"/>
  <c r="N11" i="10" s="1"/>
  <c r="M13" i="10"/>
  <c r="N13" i="10" s="1"/>
  <c r="M15" i="10"/>
  <c r="N15" i="10" s="1"/>
  <c r="M17" i="10"/>
  <c r="N17" i="10" s="1"/>
  <c r="M19" i="10"/>
  <c r="N19" i="10" s="1"/>
  <c r="M6" i="10"/>
  <c r="M8" i="10"/>
  <c r="N8" i="10" s="1"/>
  <c r="M10" i="10"/>
  <c r="N10" i="10" s="1"/>
  <c r="M12" i="10"/>
  <c r="N12" i="10" s="1"/>
  <c r="M14" i="10"/>
  <c r="N14" i="10" s="1"/>
  <c r="M16" i="10"/>
  <c r="N16" i="10" s="1"/>
  <c r="M18" i="10"/>
  <c r="N18" i="10" s="1"/>
  <c r="O5" i="10"/>
  <c r="Q7" i="14" l="1"/>
  <c r="O7" i="14"/>
  <c r="Q11" i="14"/>
  <c r="O11" i="14"/>
  <c r="Q15" i="14"/>
  <c r="O15" i="14"/>
  <c r="Q19" i="14"/>
  <c r="O19" i="14"/>
  <c r="Q23" i="14"/>
  <c r="O23" i="14"/>
  <c r="Q27" i="14"/>
  <c r="O27" i="14"/>
  <c r="Q6" i="14"/>
  <c r="O6" i="14"/>
  <c r="Q10" i="14"/>
  <c r="O10" i="14"/>
  <c r="Q14" i="14"/>
  <c r="O14" i="14"/>
  <c r="Q18" i="14"/>
  <c r="O18" i="14"/>
  <c r="Q22" i="14"/>
  <c r="O22" i="14"/>
  <c r="Q26" i="14"/>
  <c r="O26" i="14"/>
  <c r="Q30" i="14"/>
  <c r="O30" i="14"/>
  <c r="Q5" i="14"/>
  <c r="N34" i="14" a="1"/>
  <c r="N34" i="14" s="1"/>
  <c r="O35" i="14" s="1"/>
  <c r="O5" i="14"/>
  <c r="N32" i="14" a="1"/>
  <c r="N32" i="14" s="1"/>
  <c r="Q9" i="14"/>
  <c r="O9" i="14"/>
  <c r="Q13" i="14"/>
  <c r="O13" i="14"/>
  <c r="Q17" i="14"/>
  <c r="O17" i="14"/>
  <c r="Q21" i="14"/>
  <c r="O21" i="14"/>
  <c r="Q25" i="14"/>
  <c r="O25" i="14"/>
  <c r="Q29" i="14"/>
  <c r="O29" i="14"/>
  <c r="Q8" i="14"/>
  <c r="O8" i="14"/>
  <c r="Q12" i="14"/>
  <c r="O12" i="14"/>
  <c r="Q16" i="14"/>
  <c r="O16" i="14"/>
  <c r="Q20" i="14"/>
  <c r="O20" i="14"/>
  <c r="Q24" i="14"/>
  <c r="O24" i="14"/>
  <c r="Q28" i="14"/>
  <c r="O28" i="14"/>
  <c r="R5" i="13"/>
  <c r="M5" i="13" a="1"/>
  <c r="N6" i="10"/>
  <c r="N25" i="10" s="1" a="1"/>
  <c r="N23" i="10" a="1"/>
  <c r="N23" i="10" s="1"/>
  <c r="O19" i="10"/>
  <c r="N25" i="10"/>
  <c r="O7" i="10"/>
  <c r="O11" i="10"/>
  <c r="O15" i="10"/>
  <c r="O8" i="10"/>
  <c r="O12" i="10"/>
  <c r="O16" i="10"/>
  <c r="O9" i="10"/>
  <c r="O13" i="10"/>
  <c r="O17" i="10"/>
  <c r="O6" i="10"/>
  <c r="O10" i="10"/>
  <c r="O14" i="10"/>
  <c r="O18" i="10"/>
  <c r="Q32" i="14" l="1"/>
  <c r="M30" i="13"/>
  <c r="M28" i="13"/>
  <c r="M26" i="13"/>
  <c r="M24" i="13"/>
  <c r="M22" i="13"/>
  <c r="M20" i="13"/>
  <c r="M18" i="13"/>
  <c r="M16" i="13"/>
  <c r="M14" i="13"/>
  <c r="M12" i="13"/>
  <c r="M10" i="13"/>
  <c r="M8" i="13"/>
  <c r="M6" i="13"/>
  <c r="M29" i="13"/>
  <c r="M27" i="13"/>
  <c r="M25" i="13"/>
  <c r="M23" i="13"/>
  <c r="M21" i="13"/>
  <c r="M19" i="13"/>
  <c r="M17" i="13"/>
  <c r="M15" i="13"/>
  <c r="M13" i="13"/>
  <c r="M11" i="13"/>
  <c r="M9" i="13"/>
  <c r="M7" i="13"/>
  <c r="M5" i="13"/>
  <c r="P5" i="13" s="1"/>
  <c r="Q6" i="13" s="1"/>
  <c r="R6" i="13" s="1"/>
  <c r="V5" i="13"/>
  <c r="N21" i="10" a="1"/>
  <c r="N21" i="10" s="1"/>
  <c r="P6" i="13" l="1"/>
  <c r="Q7" i="13" s="1"/>
  <c r="R7" i="13" s="1"/>
  <c r="V6" i="13"/>
  <c r="D36" i="13" a="1"/>
  <c r="D36" i="13" s="1"/>
  <c r="S5" i="13" a="1"/>
  <c r="O24" i="10"/>
  <c r="V7" i="13" l="1"/>
  <c r="P7" i="13"/>
  <c r="S30" i="13"/>
  <c r="S28" i="13"/>
  <c r="S26" i="13"/>
  <c r="S24" i="13"/>
  <c r="S22" i="13"/>
  <c r="S20" i="13"/>
  <c r="S18" i="13"/>
  <c r="S16" i="13"/>
  <c r="S14" i="13"/>
  <c r="S12" i="13"/>
  <c r="S10" i="13"/>
  <c r="S8" i="13"/>
  <c r="S6" i="13"/>
  <c r="S29" i="13"/>
  <c r="S27" i="13"/>
  <c r="S25" i="13"/>
  <c r="S23" i="13"/>
  <c r="S21" i="13"/>
  <c r="S19" i="13"/>
  <c r="S17" i="13"/>
  <c r="S15" i="13"/>
  <c r="S13" i="13"/>
  <c r="S11" i="13"/>
  <c r="S9" i="13"/>
  <c r="S7" i="13"/>
  <c r="S5" i="13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3" i="5"/>
  <c r="N12" i="5"/>
  <c r="N11" i="5"/>
  <c r="N10" i="5"/>
  <c r="N9" i="5"/>
  <c r="N8" i="5"/>
  <c r="N7" i="5"/>
  <c r="N6" i="5"/>
  <c r="N6" i="7"/>
  <c r="D13" i="5"/>
  <c r="D9" i="5"/>
  <c r="D5" i="5" s="1"/>
  <c r="D13" i="7" l="1"/>
  <c r="R5" i="7" s="1"/>
  <c r="M5" i="5"/>
  <c r="M9" i="5"/>
  <c r="M13" i="5"/>
  <c r="M17" i="5"/>
  <c r="M21" i="5"/>
  <c r="M25" i="5"/>
  <c r="M29" i="5"/>
  <c r="M6" i="5"/>
  <c r="M10" i="5"/>
  <c r="M14" i="5"/>
  <c r="M18" i="5"/>
  <c r="M22" i="5"/>
  <c r="M26" i="5"/>
  <c r="M30" i="5"/>
  <c r="M7" i="5"/>
  <c r="M11" i="5"/>
  <c r="M15" i="5"/>
  <c r="M19" i="5"/>
  <c r="M23" i="5"/>
  <c r="M27" i="5"/>
  <c r="M8" i="5"/>
  <c r="M12" i="5"/>
  <c r="M16" i="5"/>
  <c r="M20" i="5"/>
  <c r="M24" i="5"/>
  <c r="M28" i="5"/>
  <c r="Q8" i="13"/>
  <c r="R8" i="13" s="1"/>
  <c r="D9" i="7"/>
  <c r="D5" i="7" s="1"/>
  <c r="R6" i="7"/>
  <c r="N7" i="7"/>
  <c r="V8" i="13" l="1"/>
  <c r="P8" i="13"/>
  <c r="H21" i="9"/>
  <c r="H13" i="9"/>
  <c r="H16" i="9"/>
  <c r="H8" i="9"/>
  <c r="H15" i="9"/>
  <c r="H18" i="9"/>
  <c r="H10" i="9"/>
  <c r="H17" i="9"/>
  <c r="H9" i="9"/>
  <c r="H20" i="9"/>
  <c r="H12" i="9"/>
  <c r="H19" i="9"/>
  <c r="H11" i="9"/>
  <c r="H22" i="9"/>
  <c r="H14" i="9"/>
  <c r="R7" i="7"/>
  <c r="N8" i="7"/>
  <c r="Q9" i="13" l="1"/>
  <c r="R9" i="13" s="1"/>
  <c r="N32" i="5" a="1"/>
  <c r="N32" i="5" s="1"/>
  <c r="N9" i="7"/>
  <c r="R8" i="7"/>
  <c r="V9" i="13" l="1"/>
  <c r="P9" i="13"/>
  <c r="N10" i="7"/>
  <c r="R9" i="7"/>
  <c r="Q10" i="13" l="1"/>
  <c r="R10" i="13" s="1"/>
  <c r="N11" i="7"/>
  <c r="R10" i="7"/>
  <c r="P10" i="13" l="1"/>
  <c r="V10" i="13"/>
  <c r="N12" i="7"/>
  <c r="R11" i="7"/>
  <c r="Q11" i="13" l="1"/>
  <c r="R11" i="13" s="1"/>
  <c r="N13" i="7"/>
  <c r="R12" i="7"/>
  <c r="P11" i="13" l="1"/>
  <c r="Q12" i="13" s="1"/>
  <c r="R12" i="13" s="1"/>
  <c r="V11" i="13"/>
  <c r="R13" i="7"/>
  <c r="N14" i="7"/>
  <c r="P12" i="13" l="1"/>
  <c r="Q13" i="13" s="1"/>
  <c r="R13" i="13" s="1"/>
  <c r="V12" i="13"/>
  <c r="R14" i="7"/>
  <c r="N15" i="7"/>
  <c r="P13" i="13" l="1"/>
  <c r="Q14" i="13" s="1"/>
  <c r="R14" i="13" s="1"/>
  <c r="V13" i="13"/>
  <c r="R15" i="7"/>
  <c r="N16" i="7"/>
  <c r="P14" i="13" l="1"/>
  <c r="Q15" i="13" s="1"/>
  <c r="R15" i="13" s="1"/>
  <c r="V14" i="13"/>
  <c r="R16" i="7"/>
  <c r="N17" i="7"/>
  <c r="V15" i="13" l="1"/>
  <c r="P15" i="13"/>
  <c r="Q16" i="13" s="1"/>
  <c r="R16" i="13" s="1"/>
  <c r="R17" i="7"/>
  <c r="N18" i="7"/>
  <c r="V16" i="13" l="1"/>
  <c r="P16" i="13"/>
  <c r="Q17" i="13" s="1"/>
  <c r="R17" i="13" s="1"/>
  <c r="R18" i="7"/>
  <c r="N19" i="7"/>
  <c r="V17" i="13" l="1"/>
  <c r="P17" i="13"/>
  <c r="Q18" i="13" s="1"/>
  <c r="R18" i="13" s="1"/>
  <c r="R19" i="7"/>
  <c r="N20" i="7"/>
  <c r="P18" i="13" l="1"/>
  <c r="Q19" i="13" s="1"/>
  <c r="R19" i="13" s="1"/>
  <c r="V18" i="13"/>
  <c r="R20" i="7"/>
  <c r="N21" i="7"/>
  <c r="P19" i="13" l="1"/>
  <c r="Q20" i="13" s="1"/>
  <c r="R20" i="13" s="1"/>
  <c r="V19" i="13"/>
  <c r="R21" i="7"/>
  <c r="N22" i="7"/>
  <c r="P20" i="13" l="1"/>
  <c r="Q21" i="13" s="1"/>
  <c r="R21" i="13" s="1"/>
  <c r="V20" i="13"/>
  <c r="R22" i="7"/>
  <c r="N23" i="7"/>
  <c r="P21" i="13" l="1"/>
  <c r="Q22" i="13" s="1"/>
  <c r="R22" i="13" s="1"/>
  <c r="V21" i="13"/>
  <c r="R23" i="7"/>
  <c r="N24" i="7"/>
  <c r="V22" i="13" l="1"/>
  <c r="P22" i="13"/>
  <c r="Q23" i="13" s="1"/>
  <c r="R23" i="13" s="1"/>
  <c r="R24" i="7"/>
  <c r="N25" i="7"/>
  <c r="V23" i="13" l="1"/>
  <c r="P23" i="13"/>
  <c r="Q24" i="13" s="1"/>
  <c r="R24" i="13" s="1"/>
  <c r="R25" i="7"/>
  <c r="N26" i="7"/>
  <c r="V24" i="13" l="1"/>
  <c r="P24" i="13"/>
  <c r="Q25" i="13" s="1"/>
  <c r="R25" i="13" s="1"/>
  <c r="R26" i="7"/>
  <c r="N27" i="7"/>
  <c r="R32" i="5"/>
  <c r="V25" i="13" l="1"/>
  <c r="P25" i="13"/>
  <c r="Q26" i="13" s="1"/>
  <c r="R26" i="13" s="1"/>
  <c r="R27" i="7"/>
  <c r="N28" i="7"/>
  <c r="O35" i="5"/>
  <c r="V26" i="13" l="1"/>
  <c r="P26" i="13"/>
  <c r="Q27" i="13" s="1"/>
  <c r="R27" i="13" s="1"/>
  <c r="R28" i="7"/>
  <c r="N29" i="7"/>
  <c r="Q32" i="5"/>
  <c r="V27" i="13" l="1"/>
  <c r="P27" i="13"/>
  <c r="Q28" i="13" s="1"/>
  <c r="R28" i="13" s="1"/>
  <c r="R29" i="7"/>
  <c r="N30" i="7"/>
  <c r="V28" i="13" l="1"/>
  <c r="P28" i="13"/>
  <c r="Q29" i="13" s="1"/>
  <c r="R29" i="13" s="1"/>
  <c r="R30" i="7"/>
  <c r="R32" i="7" s="1"/>
  <c r="N36" i="7" a="1"/>
  <c r="N36" i="7" s="1"/>
  <c r="V29" i="13" l="1"/>
  <c r="P29" i="13"/>
  <c r="Q30" i="13" s="1"/>
  <c r="R30" i="13" s="1"/>
  <c r="Q8" i="7"/>
  <c r="O8" i="7"/>
  <c r="Q12" i="7"/>
  <c r="O12" i="7"/>
  <c r="Q16" i="7"/>
  <c r="O16" i="7"/>
  <c r="Q20" i="7"/>
  <c r="O20" i="7"/>
  <c r="Q24" i="7"/>
  <c r="O24" i="7"/>
  <c r="Q28" i="7"/>
  <c r="O28" i="7"/>
  <c r="N34" i="7" a="1"/>
  <c r="N34" i="7" s="1"/>
  <c r="O35" i="7" s="1"/>
  <c r="Q5" i="7"/>
  <c r="O5" i="7"/>
  <c r="Q9" i="7"/>
  <c r="O9" i="7"/>
  <c r="Q13" i="7"/>
  <c r="O13" i="7"/>
  <c r="Q17" i="7"/>
  <c r="O17" i="7"/>
  <c r="Q21" i="7"/>
  <c r="O21" i="7"/>
  <c r="Q25" i="7"/>
  <c r="O25" i="7"/>
  <c r="Q29" i="7"/>
  <c r="O29" i="7"/>
  <c r="Q6" i="7"/>
  <c r="O6" i="7"/>
  <c r="Q10" i="7"/>
  <c r="O10" i="7"/>
  <c r="Q14" i="7"/>
  <c r="O14" i="7"/>
  <c r="Q18" i="7"/>
  <c r="O18" i="7"/>
  <c r="Q22" i="7"/>
  <c r="O22" i="7"/>
  <c r="Q26" i="7"/>
  <c r="O26" i="7"/>
  <c r="Q30" i="7"/>
  <c r="O30" i="7"/>
  <c r="Q7" i="7"/>
  <c r="O7" i="7"/>
  <c r="Q11" i="7"/>
  <c r="O11" i="7"/>
  <c r="Q15" i="7"/>
  <c r="O15" i="7"/>
  <c r="Q19" i="7"/>
  <c r="O19" i="7"/>
  <c r="Q23" i="7"/>
  <c r="O23" i="7"/>
  <c r="Q27" i="7"/>
  <c r="O27" i="7"/>
  <c r="V30" i="13" l="1"/>
  <c r="V32" i="13" s="1"/>
  <c r="P30" i="13"/>
  <c r="AH5" i="13" a="1"/>
  <c r="D42" i="13" a="1"/>
  <c r="D42" i="13" s="1"/>
  <c r="AG5" i="13" a="1"/>
  <c r="N32" i="7"/>
  <c r="Q32" i="7"/>
  <c r="AG29" i="13" l="1"/>
  <c r="AG27" i="13"/>
  <c r="AG25" i="13"/>
  <c r="AG23" i="13"/>
  <c r="AG21" i="13"/>
  <c r="AG19" i="13"/>
  <c r="AG17" i="13"/>
  <c r="AG15" i="13"/>
  <c r="AG13" i="13"/>
  <c r="AG11" i="13"/>
  <c r="AG9" i="13"/>
  <c r="AG7" i="13"/>
  <c r="AG5" i="13"/>
  <c r="AG30" i="13"/>
  <c r="AG28" i="13"/>
  <c r="AG26" i="13"/>
  <c r="AG24" i="13"/>
  <c r="AG22" i="13"/>
  <c r="AG20" i="13"/>
  <c r="AG18" i="13"/>
  <c r="AG16" i="13"/>
  <c r="AG14" i="13"/>
  <c r="AG12" i="13"/>
  <c r="AG10" i="13"/>
  <c r="AG8" i="13"/>
  <c r="AG6" i="13"/>
  <c r="AH30" i="13"/>
  <c r="AH28" i="13"/>
  <c r="AH26" i="13"/>
  <c r="AH24" i="13"/>
  <c r="AH22" i="13"/>
  <c r="AH20" i="13"/>
  <c r="AH18" i="13"/>
  <c r="AH16" i="13"/>
  <c r="AH14" i="13"/>
  <c r="AH12" i="13"/>
  <c r="AH10" i="13"/>
  <c r="AH8" i="13"/>
  <c r="AH6" i="13"/>
  <c r="AH29" i="13"/>
  <c r="AH27" i="13"/>
  <c r="AH25" i="13"/>
  <c r="AH23" i="13"/>
  <c r="AH21" i="13"/>
  <c r="AH19" i="13"/>
  <c r="AH17" i="13"/>
  <c r="AH15" i="13"/>
  <c r="AH13" i="13"/>
  <c r="AH11" i="13"/>
  <c r="AH9" i="13"/>
  <c r="AH7" i="13"/>
  <c r="AH5" i="13"/>
  <c r="U5" i="13" a="1"/>
  <c r="D40" i="13" a="1"/>
  <c r="D40" i="13" s="1"/>
  <c r="D44" i="13" s="1"/>
  <c r="AI9" i="13" l="1"/>
  <c r="AI13" i="13"/>
  <c r="AI17" i="13"/>
  <c r="AI21" i="13"/>
  <c r="AI25" i="13"/>
  <c r="AI29" i="13"/>
  <c r="AI8" i="13"/>
  <c r="AI12" i="13"/>
  <c r="AI16" i="13"/>
  <c r="AI20" i="13"/>
  <c r="AI24" i="13"/>
  <c r="AI28" i="13"/>
  <c r="AI7" i="13"/>
  <c r="AI11" i="13"/>
  <c r="AI15" i="13"/>
  <c r="AI19" i="13"/>
  <c r="AI23" i="13"/>
  <c r="AI27" i="13"/>
  <c r="U29" i="13"/>
  <c r="U27" i="13"/>
  <c r="U25" i="13"/>
  <c r="U23" i="13"/>
  <c r="U21" i="13"/>
  <c r="U19" i="13"/>
  <c r="U17" i="13"/>
  <c r="U15" i="13"/>
  <c r="U13" i="13"/>
  <c r="U11" i="13"/>
  <c r="U9" i="13"/>
  <c r="U7" i="13"/>
  <c r="U5" i="13"/>
  <c r="U30" i="13"/>
  <c r="U28" i="13"/>
  <c r="U26" i="13"/>
  <c r="U24" i="13"/>
  <c r="U22" i="13"/>
  <c r="U20" i="13"/>
  <c r="U18" i="13"/>
  <c r="U16" i="13"/>
  <c r="U14" i="13"/>
  <c r="U12" i="13"/>
  <c r="U10" i="13"/>
  <c r="U8" i="13"/>
  <c r="U6" i="13"/>
  <c r="AI6" i="13"/>
  <c r="AI10" i="13"/>
  <c r="AI14" i="13"/>
  <c r="AI18" i="13"/>
  <c r="AI22" i="13"/>
  <c r="AI26" i="13"/>
  <c r="AI30" i="13"/>
  <c r="AK5" i="13" a="1"/>
  <c r="AI5" i="13"/>
  <c r="AK30" i="13" l="1"/>
  <c r="AK28" i="13"/>
  <c r="AK26" i="13"/>
  <c r="AK24" i="13"/>
  <c r="AK22" i="13"/>
  <c r="AK20" i="13"/>
  <c r="AK18" i="13"/>
  <c r="AK16" i="13"/>
  <c r="AK14" i="13"/>
  <c r="AK12" i="13"/>
  <c r="AK10" i="13"/>
  <c r="AK8" i="13"/>
  <c r="AK6" i="13"/>
  <c r="AK29" i="13"/>
  <c r="AK27" i="13"/>
  <c r="AK25" i="13"/>
  <c r="AK23" i="13"/>
  <c r="AK21" i="13"/>
  <c r="AK19" i="13"/>
  <c r="AK17" i="13"/>
  <c r="AK15" i="13"/>
  <c r="AK13" i="13"/>
  <c r="AK11" i="13"/>
  <c r="AK9" i="13"/>
  <c r="AK7" i="13"/>
  <c r="AK5" i="13"/>
  <c r="U32" i="13"/>
</calcChain>
</file>

<file path=xl/comments1.xml><?xml version="1.0" encoding="utf-8"?>
<comments xmlns="http://schemas.openxmlformats.org/spreadsheetml/2006/main">
  <authors>
    <author>AlCAMPO</author>
  </authors>
  <commentList>
    <comment ref="M5" authorId="0" shapeId="0">
      <text/>
    </comment>
  </commentList>
</comments>
</file>

<file path=xl/comments2.xml><?xml version="1.0" encoding="utf-8"?>
<comments xmlns="http://schemas.openxmlformats.org/spreadsheetml/2006/main">
  <authors>
    <author>AlCAMPO</author>
  </authors>
  <commentList>
    <comment ref="M5" authorId="0" shapeId="0">
      <text/>
    </comment>
  </commentList>
</comments>
</file>

<file path=xl/comments3.xml><?xml version="1.0" encoding="utf-8"?>
<comments xmlns="http://schemas.openxmlformats.org/spreadsheetml/2006/main">
  <authors>
    <author>AlCAMPO</author>
  </authors>
  <commentList>
    <comment ref="M4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/>
    </comment>
    <comment ref="Q4" authorId="0" shapeId="0">
      <text/>
    </comment>
    <comment ref="AH4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<sst xmlns="http://schemas.openxmlformats.org/spreadsheetml/2006/main" count="173" uniqueCount="89">
  <si>
    <t>Tiempo</t>
  </si>
  <si>
    <t>Cosumo</t>
  </si>
  <si>
    <t>Renta</t>
  </si>
  <si>
    <t>t</t>
  </si>
  <si>
    <t>Tipo de interés subjetivo</t>
  </si>
  <si>
    <t>d</t>
  </si>
  <si>
    <t>Tipo de interés objetivo</t>
  </si>
  <si>
    <t>r</t>
  </si>
  <si>
    <t>Descuento intertemporal</t>
  </si>
  <si>
    <t>b</t>
  </si>
  <si>
    <t>Utilidad</t>
  </si>
  <si>
    <t>Sumatorios</t>
  </si>
  <si>
    <r>
      <t>C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</si>
  <si>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Y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</si>
  <si>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U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</si>
  <si>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Y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</si>
  <si>
    <r>
      <t>C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</si>
  <si>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Times New Roman"/>
        <family val="1"/>
      </rPr>
      <t>C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</si>
  <si>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Times New Roman"/>
        <family val="1"/>
      </rPr>
      <t>Y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</si>
  <si>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t>=</t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</si>
  <si>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Symbol"/>
        <family val="1"/>
        <charset val="2"/>
      </rPr>
      <t>b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16"/>
        <color theme="4" tint="-0.499984740745262"/>
        <rFont val="Times New Roman"/>
        <family val="1"/>
      </rPr>
      <t>·ln(C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</si>
  <si>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t>SOLUCION NUMÉRICA</t>
  </si>
  <si>
    <t>PARÁMETROS</t>
  </si>
  <si>
    <t>GRÁFICOS</t>
  </si>
  <si>
    <t>SOLUCIÓN ANALÍTICA</t>
  </si>
  <si>
    <t>Solución</t>
  </si>
  <si>
    <t>Producto interior bruto a precios de mercado y sus componentes</t>
  </si>
  <si>
    <t>Precios corrientes</t>
  </si>
  <si>
    <t>Unidad: millones de euros</t>
  </si>
  <si>
    <r>
      <t>Tiempo (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)</t>
    </r>
  </si>
  <si>
    <t>Consumo</t>
  </si>
  <si>
    <t>Inversión</t>
  </si>
  <si>
    <t xml:space="preserve">Exportaciones </t>
  </si>
  <si>
    <t>Importaciones</t>
  </si>
  <si>
    <t>Producto Interior Bruto</t>
  </si>
  <si>
    <t>Consumo / Renta</t>
  </si>
  <si>
    <t>Fuente: Banco de España y cálculos propios</t>
  </si>
  <si>
    <r>
      <t>C</t>
    </r>
    <r>
      <rPr>
        <i/>
        <vertAlign val="subscript"/>
        <sz val="12"/>
        <color theme="1"/>
        <rFont val="Times New Roman"/>
        <family val="1"/>
      </rPr>
      <t>t</t>
    </r>
  </si>
  <si>
    <r>
      <t>K</t>
    </r>
    <r>
      <rPr>
        <i/>
        <vertAlign val="subscript"/>
        <sz val="12"/>
        <color theme="1"/>
        <rFont val="Times New Roman"/>
        <family val="1"/>
      </rPr>
      <t>t</t>
    </r>
  </si>
  <si>
    <r>
      <t>X</t>
    </r>
    <r>
      <rPr>
        <i/>
        <vertAlign val="subscript"/>
        <sz val="12"/>
        <color theme="1"/>
        <rFont val="Times New Roman"/>
        <family val="1"/>
      </rPr>
      <t>t</t>
    </r>
  </si>
  <si>
    <r>
      <t>M</t>
    </r>
    <r>
      <rPr>
        <i/>
        <vertAlign val="subscript"/>
        <sz val="12"/>
        <color theme="1"/>
        <rFont val="Times New Roman"/>
        <family val="1"/>
      </rPr>
      <t>t</t>
    </r>
  </si>
  <si>
    <r>
      <t>C</t>
    </r>
    <r>
      <rPr>
        <i/>
        <vertAlign val="subscript"/>
        <sz val="12"/>
        <color theme="1"/>
        <rFont val="Times New Roman"/>
        <family val="1"/>
      </rPr>
      <t>t</t>
    </r>
    <r>
      <rPr>
        <i/>
        <sz val="12"/>
        <color theme="1"/>
        <rFont val="Times New Roman"/>
        <family val="1"/>
      </rPr>
      <t xml:space="preserve"> / Y</t>
    </r>
    <r>
      <rPr>
        <i/>
        <vertAlign val="subscript"/>
        <sz val="12"/>
        <color theme="1"/>
        <rFont val="Times New Roman"/>
        <family val="1"/>
      </rPr>
      <t>t</t>
    </r>
  </si>
  <si>
    <r>
      <t>Y</t>
    </r>
    <r>
      <rPr>
        <i/>
        <vertAlign val="subscript"/>
        <sz val="12"/>
        <color theme="1"/>
        <rFont val="Times New Roman"/>
        <family val="1"/>
      </rPr>
      <t>t</t>
    </r>
  </si>
  <si>
    <r>
      <t xml:space="preserve">t </t>
    </r>
    <r>
      <rPr>
        <sz val="10"/>
        <color theme="4" tint="-0.499984740745262"/>
        <rFont val="Times New Roman"/>
        <family val="1"/>
      </rPr>
      <t>(0=1995)</t>
    </r>
  </si>
  <si>
    <t>EJERCICIO DE CALIBRACIÓN</t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</si>
  <si>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Times New Roman"/>
        <family val="1"/>
      </rPr>
      <t>C</t>
    </r>
    <r>
      <rPr>
        <vertAlign val="superscript"/>
        <sz val="14"/>
        <color theme="4" tint="-0.499984740745262"/>
        <rFont val="Times New Roman"/>
        <family val="1"/>
      </rPr>
      <t>*</t>
    </r>
    <r>
      <rPr>
        <vertAlign val="subscript"/>
        <sz val="16"/>
        <color theme="4" tint="-0.499984740745262"/>
        <rFont val="Times New Roman"/>
        <family val="1"/>
      </rPr>
      <t xml:space="preserve">t </t>
    </r>
    <r>
      <rPr>
        <sz val="16"/>
        <color theme="4" tint="-0.499984740745262"/>
        <rFont val="Times New Roman"/>
        <family val="1"/>
      </rPr>
      <t>/(1+</t>
    </r>
    <r>
      <rPr>
        <sz val="16"/>
        <color theme="4" tint="-0.499984740745262"/>
        <rFont val="Symbol"/>
        <family val="1"/>
        <charset val="2"/>
      </rPr>
      <t>r</t>
    </r>
    <r>
      <rPr>
        <sz val="16"/>
        <color theme="4" tint="-0.499984740745262"/>
        <rFont val="Times New Roman"/>
        <family val="1"/>
      </rPr>
      <t>)</t>
    </r>
    <r>
      <rPr>
        <vertAlign val="super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</si>
  <si>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r>
      <rPr>
        <b/>
        <sz val="18"/>
        <color theme="4" tint="-0.499984740745262"/>
        <rFont val="Symbol"/>
        <family val="1"/>
        <charset val="2"/>
      </rPr>
      <t>S</t>
    </r>
    <r>
      <rPr>
        <b/>
        <vertAlign val="subscript"/>
        <sz val="18"/>
        <color theme="4" tint="-0.499984740745262"/>
        <rFont val="Times New Roman"/>
        <family val="1"/>
      </rPr>
      <t>t=0</t>
    </r>
    <r>
      <rPr>
        <sz val="24"/>
        <color theme="4" tint="-0.499984740745262"/>
        <rFont val="Times New Roman"/>
        <family val="1"/>
      </rPr>
      <t>(</t>
    </r>
    <r>
      <rPr>
        <sz val="16"/>
        <color theme="4" tint="-0.499984740745262"/>
        <rFont val="Symbol"/>
        <family val="1"/>
        <charset val="2"/>
      </rPr>
      <t>b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16"/>
        <color theme="4" tint="-0.499984740745262"/>
        <rFont val="Times New Roman"/>
        <family val="1"/>
      </rPr>
      <t>·ln(C</t>
    </r>
    <r>
      <rPr>
        <vertAlign val="superscript"/>
        <sz val="16"/>
        <color theme="4" tint="-0.499984740745262"/>
        <rFont val="Times New Roman"/>
        <family val="1"/>
      </rPr>
      <t>*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24"/>
        <color theme="4" tint="-0.499984740745262"/>
        <rFont val="Times New Roman"/>
        <family val="1"/>
      </rPr>
      <t>)</t>
    </r>
  </si>
  <si>
    <r>
      <t>X</t>
    </r>
    <r>
      <rPr>
        <vertAlign val="subscript"/>
        <sz val="16"/>
        <color theme="1"/>
        <rFont val="Times New Roman"/>
        <family val="1"/>
      </rPr>
      <t>t</t>
    </r>
    <r>
      <rPr>
        <sz val="16"/>
        <color theme="1"/>
        <rFont val="Times New Roman"/>
        <family val="1"/>
      </rPr>
      <t xml:space="preserve"> =</t>
    </r>
  </si>
  <si>
    <t>DNI:</t>
  </si>
  <si>
    <t>Apellidos y Nombre:</t>
  </si>
  <si>
    <r>
      <t>K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</si>
  <si>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K</t>
    </r>
    <r>
      <rPr>
        <vertAlign val="subscript"/>
        <sz val="16"/>
        <color theme="4" tint="-0.499984740745262"/>
        <rFont val="Times New Roman"/>
        <family val="1"/>
      </rPr>
      <t>t-1</t>
    </r>
  </si>
  <si>
    <r>
      <t>SOLUCIÓN ANALÍTICA DEL CONSUMIDOR (</t>
    </r>
    <r>
      <rPr>
        <b/>
        <i/>
        <sz val="12"/>
        <color theme="4" tint="-0.499984740745262"/>
        <rFont val="Times New Roman"/>
        <family val="1"/>
      </rPr>
      <t>ANÁLISIS PARCIAL</t>
    </r>
    <r>
      <rPr>
        <b/>
        <sz val="12"/>
        <color theme="4" tint="-0.499984740745262"/>
        <rFont val="Times New Roman"/>
        <family val="1"/>
      </rPr>
      <t>)</t>
    </r>
  </si>
  <si>
    <t>SOLUCIÓN ANALÍTICA DEL PRODUCTOR</t>
  </si>
  <si>
    <t>Salario</t>
  </si>
  <si>
    <t>Trabajo</t>
  </si>
  <si>
    <t>Stock de Capital</t>
  </si>
  <si>
    <t>Capital</t>
  </si>
  <si>
    <t>Producto</t>
  </si>
  <si>
    <t>Precios</t>
  </si>
  <si>
    <t>Beneficios</t>
  </si>
  <si>
    <r>
      <rPr>
        <i/>
        <sz val="16"/>
        <color theme="4" tint="-0.499984740745262"/>
        <rFont val="Times New Roman"/>
        <family val="1"/>
      </rPr>
      <t>w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</si>
  <si>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L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</si>
  <si>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L</t>
    </r>
    <r>
      <rPr>
        <vertAlign val="superscript"/>
        <sz val="12"/>
        <color theme="4" tint="-0.499984740745262"/>
        <rFont val="Times New Roman"/>
        <family val="1"/>
      </rPr>
      <t>D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</si>
  <si>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K</t>
    </r>
    <r>
      <rPr>
        <vertAlign val="superscript"/>
        <sz val="12"/>
        <color theme="4" tint="-0.499984740745262"/>
        <rFont val="Times New Roman"/>
        <family val="1"/>
      </rPr>
      <t>D</t>
    </r>
    <r>
      <rPr>
        <vertAlign val="subscript"/>
        <sz val="16"/>
        <color theme="4" tint="-0.499984740745262"/>
        <rFont val="Times New Roman"/>
        <family val="1"/>
      </rPr>
      <t>t</t>
    </r>
  </si>
  <si>
    <r>
      <t>P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16"/>
        <color theme="4" tint="-0.499984740745262"/>
        <rFont val="Times New Roman"/>
        <family val="1"/>
      </rPr>
      <t>X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16"/>
        <color theme="4" tint="-0.499984740745262"/>
        <rFont val="Times New Roman"/>
        <family val="1"/>
      </rPr>
      <t>=Y</t>
    </r>
    <r>
      <rPr>
        <vertAlign val="subscript"/>
        <sz val="16"/>
        <color theme="4" tint="-0.499984740745262"/>
        <rFont val="Times New Roman"/>
        <family val="1"/>
      </rPr>
      <t>t</t>
    </r>
  </si>
  <si>
    <r>
      <rPr>
        <i/>
        <sz val="16"/>
        <color theme="4" tint="-0.499984740745262"/>
        <rFont val="Times New Roman"/>
        <family val="1"/>
      </rPr>
      <t>p</t>
    </r>
    <r>
      <rPr>
        <vertAlign val="subscript"/>
        <sz val="16"/>
        <color theme="4" tint="-0.499984740745262"/>
        <rFont val="Times New Roman"/>
        <family val="1"/>
      </rPr>
      <t>t</t>
    </r>
  </si>
  <si>
    <r>
      <rPr>
        <sz val="16"/>
        <color theme="4" tint="-0.499984740745262"/>
        <rFont val="Symbol"/>
        <family val="1"/>
        <charset val="2"/>
      </rPr>
      <t>P</t>
    </r>
    <r>
      <rPr>
        <vertAlign val="subscript"/>
        <sz val="16"/>
        <color theme="4" tint="-0.499984740745262"/>
        <rFont val="Times New Roman"/>
        <family val="1"/>
      </rPr>
      <t>t</t>
    </r>
    <r>
      <rPr>
        <sz val="16"/>
        <color theme="4" tint="-0.499984740745262"/>
        <rFont val="Times New Roman"/>
        <family val="1"/>
      </rPr>
      <t>=0</t>
    </r>
  </si>
  <si>
    <t>Interés subjetivo</t>
  </si>
  <si>
    <t>Preferencias</t>
  </si>
  <si>
    <t>g</t>
  </si>
  <si>
    <t>1-g</t>
  </si>
  <si>
    <t>Dotación incial</t>
  </si>
  <si>
    <r>
      <t>B</t>
    </r>
    <r>
      <rPr>
        <vertAlign val="subscript"/>
        <sz val="12"/>
        <color theme="4" tint="-0.499984740745262"/>
        <rFont val="Times New Roman"/>
        <family val="1"/>
      </rPr>
      <t>0</t>
    </r>
  </si>
  <si>
    <r>
      <t>K</t>
    </r>
    <r>
      <rPr>
        <vertAlign val="subscript"/>
        <sz val="12"/>
        <color theme="4" tint="-0.499984740745262"/>
        <rFont val="Times New Roman"/>
        <family val="1"/>
      </rPr>
      <t>-1</t>
    </r>
  </si>
  <si>
    <t>Mercado Laboral</t>
  </si>
  <si>
    <r>
      <rPr>
        <sz val="12"/>
        <color theme="4" tint="-0.499984740745262"/>
        <rFont val="Symbol"/>
        <family val="1"/>
        <charset val="2"/>
      </rPr>
      <t>L</t>
    </r>
    <r>
      <rPr>
        <vertAlign val="subscript"/>
        <sz val="12"/>
        <color theme="4" tint="-0.499984740745262"/>
        <rFont val="Times New Roman"/>
        <family val="1"/>
      </rPr>
      <t>0</t>
    </r>
  </si>
  <si>
    <r>
      <t>q</t>
    </r>
    <r>
      <rPr>
        <vertAlign val="subscript"/>
        <sz val="12"/>
        <color theme="4" tint="-0.499984740745262"/>
        <rFont val="Symbol"/>
        <family val="1"/>
        <charset val="2"/>
      </rPr>
      <t>0</t>
    </r>
  </si>
  <si>
    <t>NH</t>
  </si>
  <si>
    <t>Salario fijo</t>
  </si>
  <si>
    <t>w</t>
  </si>
  <si>
    <t>Productor</t>
  </si>
  <si>
    <t>a</t>
  </si>
  <si>
    <t>1-a</t>
  </si>
  <si>
    <t>Utilidad total</t>
  </si>
  <si>
    <r>
      <rPr>
        <b/>
        <sz val="14"/>
        <color theme="4" tint="-0.499984740745262"/>
        <rFont val="Symbol"/>
        <family val="1"/>
        <charset val="2"/>
      </rPr>
      <t>S</t>
    </r>
    <r>
      <rPr>
        <b/>
        <vertAlign val="subscript"/>
        <sz val="14"/>
        <color theme="4" tint="-0.499984740745262"/>
        <rFont val="Times New Roman"/>
        <family val="1"/>
      </rPr>
      <t>t=0</t>
    </r>
    <r>
      <rPr>
        <sz val="14"/>
        <color theme="4" tint="-0.499984740745262"/>
        <rFont val="Times New Roman"/>
        <family val="1"/>
      </rPr>
      <t>(</t>
    </r>
    <r>
      <rPr>
        <sz val="14"/>
        <color theme="4" tint="-0.499984740745262"/>
        <rFont val="Symbol"/>
        <family val="1"/>
        <charset val="2"/>
      </rPr>
      <t>b</t>
    </r>
    <r>
      <rPr>
        <vertAlign val="superscript"/>
        <sz val="14"/>
        <color theme="4" tint="-0.499984740745262"/>
        <rFont val="Times New Roman"/>
        <family val="1"/>
      </rPr>
      <t>t</t>
    </r>
    <r>
      <rPr>
        <sz val="14"/>
        <color theme="4" tint="-0.499984740745262"/>
        <rFont val="Times New Roman"/>
        <family val="1"/>
      </rPr>
      <t>·(C</t>
    </r>
    <r>
      <rPr>
        <vertAlign val="subscript"/>
        <sz val="14"/>
        <color theme="4" tint="-0.499984740745262"/>
        <rFont val="Times New Roman"/>
        <family val="1"/>
      </rPr>
      <t>t</t>
    </r>
    <r>
      <rPr>
        <sz val="14"/>
        <color theme="4" tint="-0.499984740745262"/>
        <rFont val="Times New Roman"/>
        <family val="1"/>
      </rPr>
      <t>+</t>
    </r>
    <r>
      <rPr>
        <sz val="14"/>
        <color theme="4" tint="-0.499984740745262"/>
        <rFont val="Symbol"/>
        <family val="1"/>
        <charset val="2"/>
      </rPr>
      <t>q</t>
    </r>
    <r>
      <rPr>
        <vertAlign val="subscript"/>
        <sz val="14"/>
        <color theme="4" tint="-0.499984740745262"/>
        <rFont val="Times New Roman"/>
        <family val="1"/>
      </rPr>
      <t>t</t>
    </r>
    <r>
      <rPr>
        <sz val="14"/>
        <color theme="4" tint="-0.499984740745262"/>
        <rFont val="Times New Roman"/>
        <family val="1"/>
      </rPr>
      <t>)</t>
    </r>
  </si>
  <si>
    <t>Restricciones:</t>
  </si>
  <si>
    <r>
      <rPr>
        <b/>
        <sz val="10"/>
        <color theme="4" tint="-0.499984740745262"/>
        <rFont val="Symbol"/>
        <family val="1"/>
        <charset val="2"/>
      </rPr>
      <t>S</t>
    </r>
    <r>
      <rPr>
        <b/>
        <vertAlign val="subscript"/>
        <sz val="10"/>
        <color theme="4" tint="-0.499984740745262"/>
        <rFont val="Times New Roman"/>
        <family val="1"/>
      </rPr>
      <t>t=0</t>
    </r>
    <r>
      <rPr>
        <sz val="10"/>
        <color theme="4" tint="-0.499984740745262"/>
        <rFont val="Times New Roman"/>
        <family val="1"/>
      </rPr>
      <t>((C</t>
    </r>
    <r>
      <rPr>
        <vertAlign val="superscript"/>
        <sz val="10"/>
        <color theme="4" tint="-0.499984740745262"/>
        <rFont val="Times New Roman"/>
        <family val="1"/>
      </rPr>
      <t>*</t>
    </r>
    <r>
      <rPr>
        <vertAlign val="subscript"/>
        <sz val="10"/>
        <color theme="4" tint="-0.499984740745262"/>
        <rFont val="Times New Roman"/>
        <family val="1"/>
      </rPr>
      <t>t</t>
    </r>
    <r>
      <rPr>
        <sz val="10"/>
        <color theme="4" tint="-0.499984740745262"/>
        <rFont val="Times New Roman"/>
        <family val="1"/>
      </rPr>
      <t>+K*</t>
    </r>
    <r>
      <rPr>
        <vertAlign val="subscript"/>
        <sz val="10"/>
        <color theme="4" tint="-0.499984740745262"/>
        <rFont val="Times New Roman"/>
        <family val="1"/>
      </rPr>
      <t>t</t>
    </r>
    <r>
      <rPr>
        <sz val="10"/>
        <color theme="4" tint="-0.499984740745262"/>
        <rFont val="Times New Roman"/>
        <family val="1"/>
      </rPr>
      <t>)/(1+</t>
    </r>
    <r>
      <rPr>
        <sz val="10"/>
        <color theme="4" tint="-0.499984740745262"/>
        <rFont val="Symbol"/>
        <family val="1"/>
        <charset val="2"/>
      </rPr>
      <t>r</t>
    </r>
    <r>
      <rPr>
        <sz val="10"/>
        <color theme="4" tint="-0.499984740745262"/>
        <rFont val="Times New Roman"/>
        <family val="1"/>
      </rPr>
      <t>)</t>
    </r>
    <r>
      <rPr>
        <vertAlign val="superscript"/>
        <sz val="10"/>
        <color theme="4" tint="-0.499984740745262"/>
        <rFont val="Times New Roman"/>
        <family val="1"/>
      </rPr>
      <t>t</t>
    </r>
    <r>
      <rPr>
        <sz val="10"/>
        <color theme="4" tint="-0.499984740745262"/>
        <rFont val="Times New Roman"/>
        <family val="1"/>
      </rPr>
      <t>)</t>
    </r>
  </si>
  <si>
    <r>
      <rPr>
        <b/>
        <sz val="12"/>
        <color theme="4" tint="-0.499984740745262"/>
        <rFont val="Symbol"/>
        <family val="1"/>
        <charset val="2"/>
      </rPr>
      <t>S</t>
    </r>
    <r>
      <rPr>
        <b/>
        <vertAlign val="subscript"/>
        <sz val="12"/>
        <color theme="4" tint="-0.499984740745262"/>
        <rFont val="Times New Roman"/>
        <family val="1"/>
      </rPr>
      <t>t=0</t>
    </r>
    <r>
      <rPr>
        <sz val="12"/>
        <color theme="4" tint="-0.499984740745262"/>
        <rFont val="Times New Roman"/>
        <family val="1"/>
      </rPr>
      <t>(Y</t>
    </r>
    <r>
      <rPr>
        <vertAlign val="subscript"/>
        <sz val="12"/>
        <color theme="4" tint="-0.499984740745262"/>
        <rFont val="Times New Roman"/>
        <family val="1"/>
      </rPr>
      <t xml:space="preserve">t </t>
    </r>
    <r>
      <rPr>
        <sz val="12"/>
        <color theme="4" tint="-0.499984740745262"/>
        <rFont val="Times New Roman"/>
        <family val="1"/>
      </rPr>
      <t>/(1+</t>
    </r>
    <r>
      <rPr>
        <sz val="12"/>
        <color theme="4" tint="-0.499984740745262"/>
        <rFont val="Symbol"/>
        <family val="1"/>
        <charset val="2"/>
      </rPr>
      <t>r</t>
    </r>
    <r>
      <rPr>
        <sz val="12"/>
        <color theme="4" tint="-0.499984740745262"/>
        <rFont val="Times New Roman"/>
        <family val="1"/>
      </rPr>
      <t>)</t>
    </r>
    <r>
      <rPr>
        <vertAlign val="superscript"/>
        <sz val="12"/>
        <color theme="4" tint="-0.499984740745262"/>
        <rFont val="Times New Roman"/>
        <family val="1"/>
      </rPr>
      <t>t</t>
    </r>
    <r>
      <rPr>
        <sz val="12"/>
        <color theme="4" tint="-0.499984740745262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</si>
</sst>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0"/>
    <numFmt numFmtId="165" formatCode="0.0"/>
    <numFmt numFmtId="166" formatCode="0.0000"/>
    <numFmt numFmtId="167" formatCode="0.00000"/>
  </numFmts>
  <fonts count="62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4" tint="-0.499984740745262"/>
      <name val="Times New Roman"/>
      <family val="1"/>
    </font>
    <font>
      <i/>
      <sz val="11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sz val="11"/>
      <color theme="1" tint="4.9989318521683403E-2"/>
      <name val="Times New Roman"/>
      <family val="1"/>
    </font>
    <font>
      <sz val="14"/>
      <color theme="4" tint="-0.499984740745262"/>
      <name val="Symbol"/>
      <family val="1"/>
      <charset val="2"/>
    </font>
    <font>
      <sz val="11"/>
      <color theme="0"/>
      <name val="Times New Roman"/>
      <family val="1"/>
    </font>
    <font>
      <sz val="14"/>
      <color theme="1"/>
      <name val="Times New Roman"/>
      <family val="1"/>
    </font>
    <font>
      <sz val="16"/>
      <color theme="4" tint="-0.499984740745262"/>
      <name val="Times New Roman"/>
      <family val="1"/>
    </font>
    <font>
      <vertAlign val="subscript"/>
      <sz val="16"/>
      <color theme="4" tint="-0.499984740745262"/>
      <name val="Times New Roman"/>
      <family val="1"/>
    </font>
    <font>
      <sz val="16"/>
      <color theme="1"/>
      <name val="Times New Roman"/>
      <family val="1"/>
    </font>
    <font>
      <sz val="16"/>
      <color theme="4" tint="-0.499984740745262"/>
      <name val="Symbol"/>
      <family val="1"/>
      <charset val="2"/>
    </font>
    <font>
      <sz val="14"/>
      <color theme="1" tint="0.14999847407452621"/>
      <name val="Times New Roman"/>
      <family val="1"/>
    </font>
    <font>
      <vertAlign val="superscript"/>
      <sz val="16"/>
      <color theme="4" tint="-0.499984740745262"/>
      <name val="Times New Roman"/>
      <family val="1"/>
    </font>
    <font>
      <sz val="22"/>
      <color theme="1"/>
      <name val="Symbol"/>
      <family val="1"/>
      <charset val="2"/>
    </font>
    <font>
      <sz val="12"/>
      <color theme="4" tint="-0.499984740745262"/>
      <name val="Times New Roman"/>
      <family val="1"/>
    </font>
    <font>
      <b/>
      <sz val="18"/>
      <color theme="4" tint="-0.499984740745262"/>
      <name val="Symbol"/>
      <family val="1"/>
      <charset val="2"/>
    </font>
    <font>
      <b/>
      <vertAlign val="subscript"/>
      <sz val="18"/>
      <color theme="4" tint="-0.499984740745262"/>
      <name val="Times New Roman"/>
      <family val="1"/>
    </font>
    <font>
      <sz val="24"/>
      <color theme="4" tint="-0.499984740745262"/>
      <name val="Times New Roman"/>
      <family val="1"/>
    </font>
    <font>
      <b/>
      <sz val="12"/>
      <color theme="4" tint="-0.499984740745262"/>
      <name val="Times New Roman"/>
      <family val="1"/>
    </font>
    <font>
      <sz val="11"/>
      <color theme="4" tint="-0.49998474074526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mbria Math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1"/>
      <color rgb="FFC00000"/>
      <name val="Times New Roman"/>
      <family val="1"/>
    </font>
    <font>
      <b/>
      <sz val="14"/>
      <name val="Univers"/>
      <family val="2"/>
    </font>
    <font>
      <b/>
      <sz val="14"/>
      <color indexed="58"/>
      <name val="Univers"/>
      <family val="2"/>
    </font>
    <font>
      <sz val="12"/>
      <name val="Univers"/>
      <family val="2"/>
    </font>
    <font>
      <sz val="10"/>
      <name val="Univers"/>
      <family val="2"/>
    </font>
    <font>
      <i/>
      <sz val="11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sz val="10"/>
      <color theme="4" tint="-0.499984740745262"/>
      <name val="Times New Roman"/>
      <family val="1"/>
    </font>
    <font>
      <vertAlign val="superscript"/>
      <sz val="14"/>
      <color theme="4" tint="-0.499984740745262"/>
      <name val="Times New Roman"/>
      <family val="1"/>
    </font>
    <font>
      <vertAlign val="subscript"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theme="4" tint="-0.499984740745262"/>
      <name val="Times New Roman"/>
      <family val="1"/>
    </font>
    <font>
      <sz val="11"/>
      <color theme="1" tint="0.14999847407452621"/>
      <name val="Times New Roman"/>
      <family val="1"/>
    </font>
    <font>
      <i/>
      <sz val="16"/>
      <color theme="4" tint="-0.499984740745262"/>
      <name val="Times New Roman"/>
      <family val="1"/>
    </font>
    <font>
      <vertAlign val="superscript"/>
      <sz val="12"/>
      <color theme="4" tint="-0.499984740745262"/>
      <name val="Times New Roman"/>
      <family val="1"/>
    </font>
    <font>
      <sz val="11"/>
      <name val="Times New Roman"/>
      <family val="1"/>
    </font>
    <font>
      <vertAlign val="subscript"/>
      <sz val="12"/>
      <color theme="4" tint="-0.499984740745262"/>
      <name val="Times New Roman"/>
      <family val="1"/>
    </font>
    <font>
      <sz val="11"/>
      <color indexed="8"/>
      <name val="Times New Roman"/>
      <family val="1"/>
    </font>
    <font>
      <sz val="12"/>
      <color theme="4" tint="-0.499984740745262"/>
      <name val="Symbol"/>
      <family val="1"/>
      <charset val="2"/>
    </font>
    <font>
      <vertAlign val="subscript"/>
      <sz val="12"/>
      <color theme="4" tint="-0.499984740745262"/>
      <name val="Symbol"/>
      <family val="1"/>
      <charset val="2"/>
    </font>
    <font>
      <i/>
      <sz val="12"/>
      <color theme="4" tint="-0.499984740745262"/>
      <name val="Times New Roman"/>
      <family val="1"/>
    </font>
    <font>
      <sz val="22"/>
      <name val="Symbol"/>
      <family val="1"/>
      <charset val="2"/>
    </font>
    <font>
      <sz val="14"/>
      <color theme="4" tint="-0.499984740745262"/>
      <name val="Times New Roman"/>
      <family val="1"/>
    </font>
    <font>
      <b/>
      <sz val="14"/>
      <color theme="4" tint="-0.499984740745262"/>
      <name val="Symbol"/>
      <family val="1"/>
      <charset val="2"/>
    </font>
    <font>
      <b/>
      <vertAlign val="subscript"/>
      <sz val="14"/>
      <color theme="4" tint="-0.499984740745262"/>
      <name val="Times New Roman"/>
      <family val="1"/>
    </font>
    <font>
      <vertAlign val="subscript"/>
      <sz val="14"/>
      <color theme="4" tint="-0.499984740745262"/>
      <name val="Times New Roman"/>
      <family val="1"/>
    </font>
    <font>
      <b/>
      <sz val="10"/>
      <color theme="4" tint="-0.499984740745262"/>
      <name val="Symbol"/>
      <family val="1"/>
      <charset val="2"/>
    </font>
    <font>
      <b/>
      <vertAlign val="subscript"/>
      <sz val="10"/>
      <color theme="4" tint="-0.499984740745262"/>
      <name val="Times New Roman"/>
      <family val="1"/>
    </font>
    <font>
      <vertAlign val="superscript"/>
      <sz val="10"/>
      <color theme="4" tint="-0.499984740745262"/>
      <name val="Times New Roman"/>
      <family val="1"/>
    </font>
    <font>
      <vertAlign val="subscript"/>
      <sz val="10"/>
      <color theme="4" tint="-0.499984740745262"/>
      <name val="Times New Roman"/>
      <family val="1"/>
    </font>
    <font>
      <sz val="10"/>
      <color theme="4" tint="-0.499984740745262"/>
      <name val="Symbol"/>
      <family val="1"/>
      <charset val="2"/>
    </font>
    <font>
      <b/>
      <sz val="12"/>
      <color theme="4" tint="-0.499984740745262"/>
      <name val="Symbol"/>
      <family val="1"/>
      <charset val="2"/>
    </font>
    <font>
      <b/>
      <vertAlign val="subscript"/>
      <sz val="12"/>
      <color theme="4" tint="-0.499984740745262"/>
      <name val="Times New Roman"/>
      <family val="1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8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Continuous" vertical="center" wrapText="1"/>
    </xf>
    <xf numFmtId="0" fontId="10" fillId="0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Fill="1" applyBorder="1" applyAlignme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21" fillId="0" borderId="2" xfId="0" applyFont="1" applyBorder="1" applyAlignment="1">
      <alignment horizontal="centerContinuous" vertical="center"/>
    </xf>
    <xf numFmtId="0" fontId="22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Continuous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top"/>
    </xf>
    <xf numFmtId="0" fontId="23" fillId="0" borderId="0" xfId="0" applyFont="1"/>
    <xf numFmtId="0" fontId="24" fillId="0" borderId="0" xfId="0" applyFont="1"/>
    <xf numFmtId="0" fontId="0" fillId="0" borderId="5" xfId="0" applyBorder="1"/>
    <xf numFmtId="0" fontId="0" fillId="0" borderId="6" xfId="0" applyBorder="1"/>
    <xf numFmtId="0" fontId="23" fillId="0" borderId="6" xfId="0" applyFont="1" applyBorder="1"/>
    <xf numFmtId="0" fontId="24" fillId="0" borderId="6" xfId="0" applyFont="1" applyBorder="1"/>
    <xf numFmtId="0" fontId="0" fillId="0" borderId="2" xfId="0" applyBorder="1"/>
    <xf numFmtId="0" fontId="1" fillId="0" borderId="0" xfId="0" applyFont="1"/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165" fontId="28" fillId="0" borderId="0" xfId="0" applyNumberFormat="1" applyFont="1" applyBorder="1" applyAlignment="1">
      <alignment horizontal="center" vertical="center"/>
    </xf>
    <xf numFmtId="164" fontId="28" fillId="0" borderId="0" xfId="0" applyNumberFormat="1" applyFont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left" indent="1"/>
    </xf>
    <xf numFmtId="0" fontId="29" fillId="0" borderId="0" xfId="0" applyFont="1" applyFill="1" applyBorder="1"/>
    <xf numFmtId="0" fontId="30" fillId="0" borderId="0" xfId="0" applyFont="1" applyFill="1" applyBorder="1" applyAlignment="1">
      <alignment vertical="top"/>
    </xf>
    <xf numFmtId="0" fontId="31" fillId="0" borderId="0" xfId="0" applyFont="1" applyFill="1" applyBorder="1"/>
    <xf numFmtId="0" fontId="32" fillId="0" borderId="0" xfId="0" applyFont="1" applyFill="1" applyBorder="1"/>
    <xf numFmtId="0" fontId="1" fillId="0" borderId="1" xfId="0" applyFont="1" applyBorder="1" applyAlignment="1">
      <alignment horizontal="centerContinuous" vertical="center"/>
    </xf>
    <xf numFmtId="0" fontId="26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/>
    <xf numFmtId="0" fontId="28" fillId="0" borderId="0" xfId="0" applyFont="1" applyAlignment="1">
      <alignment horizontal="center"/>
    </xf>
    <xf numFmtId="1" fontId="28" fillId="0" borderId="0" xfId="0" applyNumberFormat="1" applyFont="1" applyAlignment="1">
      <alignment horizontal="left" indent="1"/>
    </xf>
    <xf numFmtId="2" fontId="28" fillId="0" borderId="0" xfId="0" applyNumberFormat="1" applyFont="1" applyAlignment="1">
      <alignment horizontal="center"/>
    </xf>
    <xf numFmtId="2" fontId="28" fillId="0" borderId="0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Continuous" vertical="center" wrapText="1"/>
    </xf>
    <xf numFmtId="1" fontId="28" fillId="0" borderId="0" xfId="0" applyNumberFormat="1" applyFont="1" applyAlignment="1">
      <alignment horizontal="center" vertical="center"/>
    </xf>
    <xf numFmtId="1" fontId="28" fillId="0" borderId="0" xfId="0" applyNumberFormat="1" applyFont="1" applyBorder="1" applyAlignment="1">
      <alignment horizontal="right" vertical="center" indent="2"/>
    </xf>
    <xf numFmtId="164" fontId="28" fillId="0" borderId="0" xfId="0" applyNumberFormat="1" applyFont="1" applyAlignment="1" applyProtection="1">
      <alignment horizontal="center" vertical="center"/>
      <protection locked="0"/>
    </xf>
    <xf numFmtId="165" fontId="28" fillId="0" borderId="0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" fontId="28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43" fillId="0" borderId="0" xfId="0" applyNumberFormat="1" applyFont="1" applyBorder="1" applyAlignment="1" applyProtection="1">
      <alignment horizontal="center" vertical="center"/>
      <protection locked="0"/>
    </xf>
    <xf numFmtId="2" fontId="43" fillId="0" borderId="0" xfId="0" applyNumberFormat="1" applyFont="1" applyBorder="1" applyAlignment="1" applyProtection="1">
      <alignment horizontal="center" vertical="center"/>
      <protection locked="0"/>
    </xf>
    <xf numFmtId="164" fontId="43" fillId="0" borderId="0" xfId="0" applyNumberFormat="1" applyFont="1" applyAlignment="1">
      <alignment horizontal="center" vertical="center"/>
    </xf>
    <xf numFmtId="165" fontId="43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vertical="center"/>
    </xf>
    <xf numFmtId="167" fontId="6" fillId="0" borderId="0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centerContinuous" vertical="center" wrapText="1"/>
    </xf>
    <xf numFmtId="12" fontId="6" fillId="0" borderId="4" xfId="0" applyNumberFormat="1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45" fillId="0" borderId="0" xfId="0" applyFont="1" applyAlignment="1">
      <alignment horizontal="center" vertical="center"/>
    </xf>
    <xf numFmtId="2" fontId="6" fillId="0" borderId="4" xfId="0" applyNumberFormat="1" applyFont="1" applyBorder="1" applyAlignment="1">
      <alignment horizontal="right" vertical="center" inden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166" fontId="43" fillId="0" borderId="0" xfId="0" applyNumberFormat="1" applyFont="1" applyAlignment="1">
      <alignment horizontal="center" vertical="center"/>
    </xf>
    <xf numFmtId="12" fontId="6" fillId="0" borderId="4" xfId="1" applyNumberFormat="1" applyFont="1" applyBorder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0" fillId="0" borderId="0" xfId="0" applyFont="1" applyFill="1" applyBorder="1" applyAlignment="1">
      <alignment horizontal="right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164" fontId="43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164" fontId="43" fillId="0" borderId="0" xfId="0" applyNumberFormat="1" applyFont="1" applyAlignment="1" applyProtection="1">
      <alignment vertical="center"/>
      <protection locked="0"/>
    </xf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left" indent="1"/>
    </xf>
    <xf numFmtId="0" fontId="12" fillId="0" borderId="0" xfId="0" applyFont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164" fontId="43" fillId="0" borderId="0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1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Consumo</a:t>
            </a:r>
          </a:p>
        </c:rich>
      </c:tx>
      <c:layout>
        <c:manualLayout>
          <c:xMode val="edge"/>
          <c:yMode val="edge"/>
          <c:x val="0.13466071428571394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64"/>
          <c:w val="0.72529960317460485"/>
          <c:h val="0.670203174603177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'Modelo (1)'!t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(1)'!$M$5:$M$30</c:f>
              <c:numCache>
                <c:formatCode>0.0</c:formatCode>
                <c:ptCount val="26"/>
                <c:pt idx="0">
                  <c:v>27.207837410131393</c:v>
                </c:pt>
                <c:pt idx="1">
                  <c:v>28.37388758485131</c:v>
                </c:pt>
                <c:pt idx="2">
                  <c:v>29.589911338487791</c:v>
                </c:pt>
                <c:pt idx="3">
                  <c:v>30.858050395851556</c:v>
                </c:pt>
                <c:pt idx="4">
                  <c:v>32.18053826995947</c:v>
                </c:pt>
                <c:pt idx="5">
                  <c:v>33.559704195814874</c:v>
                </c:pt>
                <c:pt idx="6">
                  <c:v>34.997977232778368</c:v>
                </c:pt>
                <c:pt idx="7">
                  <c:v>36.49789054275459</c:v>
                </c:pt>
                <c:pt idx="8">
                  <c:v>38.062085851729776</c:v>
                </c:pt>
                <c:pt idx="9">
                  <c:v>39.693318102518191</c:v>
                </c:pt>
                <c:pt idx="10">
                  <c:v>41.394460306911832</c:v>
                </c:pt>
                <c:pt idx="11">
                  <c:v>43.168508605779486</c:v>
                </c:pt>
                <c:pt idx="12">
                  <c:v>45.018587546027163</c:v>
                </c:pt>
                <c:pt idx="13">
                  <c:v>46.947955583714048</c:v>
                </c:pt>
                <c:pt idx="14">
                  <c:v>48.960010823016063</c:v>
                </c:pt>
                <c:pt idx="15">
                  <c:v>51.058297001145334</c:v>
                </c:pt>
                <c:pt idx="16">
                  <c:v>53.246509729765847</c:v>
                </c:pt>
                <c:pt idx="17">
                  <c:v>55.528503003898663</c:v>
                </c:pt>
                <c:pt idx="18">
                  <c:v>57.908295989780036</c:v>
                </c:pt>
                <c:pt idx="19">
                  <c:v>60.390080103627746</c:v>
                </c:pt>
                <c:pt idx="20">
                  <c:v>62.97822639378321</c:v>
                </c:pt>
                <c:pt idx="21">
                  <c:v>65.677293239231062</c:v>
                </c:pt>
                <c:pt idx="22">
                  <c:v>68.492034378055237</c:v>
                </c:pt>
                <c:pt idx="23">
                  <c:v>71.427407279971902</c:v>
                </c:pt>
                <c:pt idx="24">
                  <c:v>74.488581877684979</c:v>
                </c:pt>
                <c:pt idx="25">
                  <c:v>77.680949672442893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686752"/>
        <c:axId val="307687312"/>
      </c:scatterChart>
      <c:valAx>
        <c:axId val="307686752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18"/>
              <c:y val="0.926924603174604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7687312"/>
        <c:crosses val="autoZero"/>
        <c:crossBetween val="midCat"/>
        <c:majorUnit val="5"/>
      </c:valAx>
      <c:valAx>
        <c:axId val="307687312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5.0396825396825488E-3"/>
              <c:y val="0.1503214285714290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7686752"/>
        <c:crosses val="autoZero"/>
        <c:crossBetween val="midCat"/>
        <c:majorUnit val="20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2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la Utilidad</a:t>
            </a:r>
            <a:endParaRPr lang="es-ES" sz="12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346607142857138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2"/>
          <c:w val="0.72529960317460518"/>
          <c:h val="0.670203174603177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(1)'!$L$5:$L$30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(1)'!$O$5:$O$30</c:f>
              <c:numCache>
                <c:formatCode>0.0</c:formatCode>
                <c:ptCount val="26"/>
                <c:pt idx="0">
                  <c:v>3.3035050718759318</c:v>
                </c:pt>
                <c:pt idx="1">
                  <c:v>2.3896209078392601</c:v>
                </c:pt>
                <c:pt idx="2">
                  <c:v>1.7282823826908142</c:v>
                </c:pt>
                <c:pt idx="3">
                  <c:v>1.2497804916811328</c:v>
                </c:pt>
                <c:pt idx="4">
                  <c:v>0.90362397653895776</c:v>
                </c:pt>
                <c:pt idx="5">
                  <c:v>0.65324828705507609</c:v>
                </c:pt>
                <c:pt idx="6">
                  <c:v>0.47217919755880366</c:v>
                </c:pt>
                <c:pt idx="7">
                  <c:v>0.34125176842325222</c:v>
                </c:pt>
                <c:pt idx="8">
                  <c:v>0.24659477246239922</c:v>
                </c:pt>
                <c:pt idx="9">
                  <c:v>0.17817020126095182</c:v>
                </c:pt>
                <c:pt idx="10">
                  <c:v>0.12871519952462546</c:v>
                </c:pt>
                <c:pt idx="11">
                  <c:v>9.2975692555101783E-2</c:v>
                </c:pt>
                <c:pt idx="12">
                  <c:v>6.7151397770234419E-2</c:v>
                </c:pt>
                <c:pt idx="13">
                  <c:v>4.8493990408956453E-2</c:v>
                </c:pt>
                <c:pt idx="14">
                  <c:v>3.5016211925940621E-2</c:v>
                </c:pt>
                <c:pt idx="15">
                  <c:v>2.5281328052896585E-2</c:v>
                </c:pt>
                <c:pt idx="16">
                  <c:v>1.8250768684780518E-2</c:v>
                </c:pt>
                <c:pt idx="17">
                  <c:v>1.3173889930861661E-2</c:v>
                </c:pt>
                <c:pt idx="18">
                  <c:v>9.5082260824653781E-3</c:v>
                </c:pt>
                <c:pt idx="19">
                  <c:v>6.8618077041027519E-3</c:v>
                </c:pt>
                <c:pt idx="20">
                  <c:v>4.9514466780726171E-3</c:v>
                </c:pt>
                <c:pt idx="21">
                  <c:v>3.5725729563778437E-3</c:v>
                </c:pt>
                <c:pt idx="22">
                  <c:v>2.5774273468292582E-3</c:v>
                </c:pt>
                <c:pt idx="23">
                  <c:v>1.8592977626245301E-3</c:v>
                </c:pt>
                <c:pt idx="24">
                  <c:v>1.341125708428279E-3</c:v>
                </c:pt>
                <c:pt idx="25">
                  <c:v>9.6727256172176039E-4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7689552"/>
        <c:axId val="307690112"/>
      </c:scatterChart>
      <c:valAx>
        <c:axId val="307689552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62"/>
              <c:y val="0.926924603174604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7690112"/>
        <c:crosses val="autoZero"/>
        <c:crossBetween val="midCat"/>
        <c:majorUnit val="5"/>
      </c:valAx>
      <c:valAx>
        <c:axId val="30769011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Utilidad</a:t>
                </a:r>
              </a:p>
            </c:rich>
          </c:tx>
          <c:layout>
            <c:manualLayout>
              <c:xMode val="edge"/>
              <c:yMode val="edge"/>
              <c:x val="5.0396825396825523E-3"/>
              <c:y val="0.150321428571429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7689552"/>
        <c:crosses val="autoZero"/>
        <c:crossBetween val="midCat"/>
        <c:majorUnit val="1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1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Consumo</a:t>
            </a:r>
          </a:p>
        </c:rich>
      </c:tx>
      <c:layout>
        <c:manualLayout>
          <c:xMode val="edge"/>
          <c:yMode val="edge"/>
          <c:x val="0.1346607142857138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2"/>
          <c:w val="0.72529960317460518"/>
          <c:h val="0.670203174603177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'Modelo (1sol)'!$L$5:$L$30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(1sol)'!$M$5:$M$30</c:f>
              <c:numCache>
                <c:formatCode>0.0</c:formatCode>
                <c:ptCount val="26"/>
                <c:pt idx="0">
                  <c:v>26.811569755797724</c:v>
                </c:pt>
                <c:pt idx="1">
                  <c:v>28.152148243587611</c:v>
                </c:pt>
                <c:pt idx="2">
                  <c:v>29.559755655766995</c:v>
                </c:pt>
                <c:pt idx="3">
                  <c:v>31.037743438555339</c:v>
                </c:pt>
                <c:pt idx="4">
                  <c:v>32.589630610483098</c:v>
                </c:pt>
                <c:pt idx="5">
                  <c:v>34.219112141007258</c:v>
                </c:pt>
                <c:pt idx="6">
                  <c:v>35.93006774805761</c:v>
                </c:pt>
                <c:pt idx="7">
                  <c:v>37.726571135460503</c:v>
                </c:pt>
                <c:pt idx="8">
                  <c:v>39.612899692233526</c:v>
                </c:pt>
                <c:pt idx="9">
                  <c:v>41.593544676845205</c:v>
                </c:pt>
                <c:pt idx="10">
                  <c:v>43.67322191068746</c:v>
                </c:pt>
                <c:pt idx="11">
                  <c:v>45.856883006221828</c:v>
                </c:pt>
                <c:pt idx="12">
                  <c:v>48.149727156532919</c:v>
                </c:pt>
                <c:pt idx="13">
                  <c:v>50.557213514359567</c:v>
                </c:pt>
                <c:pt idx="14">
                  <c:v>53.085074190077535</c:v>
                </c:pt>
                <c:pt idx="15">
                  <c:v>55.739327899581419</c:v>
                </c:pt>
                <c:pt idx="16">
                  <c:v>58.5262942945605</c:v>
                </c:pt>
                <c:pt idx="17">
                  <c:v>61.452609009288523</c:v>
                </c:pt>
                <c:pt idx="18">
                  <c:v>64.525239459752939</c:v>
                </c:pt>
                <c:pt idx="19">
                  <c:v>67.751501432740582</c:v>
                </c:pt>
                <c:pt idx="20">
                  <c:v>71.139076504377613</c:v>
                </c:pt>
                <c:pt idx="21">
                  <c:v>74.696030329596496</c:v>
                </c:pt>
                <c:pt idx="22">
                  <c:v>78.430831846076302</c:v>
                </c:pt>
                <c:pt idx="23">
                  <c:v>82.352373438380141</c:v>
                </c:pt>
                <c:pt idx="24">
                  <c:v>86.469992110299145</c:v>
                </c:pt>
                <c:pt idx="25">
                  <c:v>90.793491715814085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25760"/>
        <c:axId val="308326320"/>
      </c:scatterChart>
      <c:valAx>
        <c:axId val="308325760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62"/>
              <c:y val="0.926924603174604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8326320"/>
        <c:crosses val="autoZero"/>
        <c:crossBetween val="midCat"/>
        <c:majorUnit val="5"/>
      </c:valAx>
      <c:valAx>
        <c:axId val="308326320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5.0396825396825523E-3"/>
              <c:y val="0.150321428571429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8325760"/>
        <c:crosses val="autoZero"/>
        <c:crossBetween val="midCat"/>
        <c:majorUnit val="20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2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la Utilidad</a:t>
            </a:r>
            <a:endParaRPr lang="es-ES" sz="12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346607142857138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8"/>
          <c:w val="0.72529960317460562"/>
          <c:h val="0.670203174603178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(1sol)'!$L$5:$L$30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(1sol)'!$O$5:$O$30</c:f>
              <c:numCache>
                <c:formatCode>0.0</c:formatCode>
                <c:ptCount val="26"/>
                <c:pt idx="0">
                  <c:v>3.2888335016639076</c:v>
                </c:pt>
                <c:pt idx="1">
                  <c:v>2.3840169041666712</c:v>
                </c:pt>
                <c:pt idx="2">
                  <c:v>1.7277621581646796</c:v>
                </c:pt>
                <c:pt idx="3">
                  <c:v>1.2518964993338937</c:v>
                </c:pt>
                <c:pt idx="4">
                  <c:v>0.90691226529092972</c:v>
                </c:pt>
                <c:pt idx="5">
                  <c:v>0.65686624667383153</c:v>
                </c:pt>
                <c:pt idx="6">
                  <c:v>0.47567001295704003</c:v>
                </c:pt>
                <c:pt idx="7">
                  <c:v>0.34439274979891882</c:v>
                </c:pt>
                <c:pt idx="8">
                  <c:v>0.24930086044894512</c:v>
                </c:pt>
                <c:pt idx="9">
                  <c:v>0.18043349972353445</c:v>
                </c:pt>
                <c:pt idx="10">
                  <c:v>0.13056782590660784</c:v>
                </c:pt>
                <c:pt idx="11">
                  <c:v>9.4467557558656892E-2</c:v>
                </c:pt>
                <c:pt idx="12">
                  <c:v>6.8337415947771138E-2</c:v>
                </c:pt>
                <c:pt idx="13">
                  <c:v>4.9427146477093016E-2</c:v>
                </c:pt>
                <c:pt idx="14">
                  <c:v>3.5744180708208825E-2</c:v>
                </c:pt>
                <c:pt idx="15">
                  <c:v>2.5845183421373322E-2</c:v>
                </c:pt>
                <c:pt idx="16">
                  <c:v>1.8684863710018609E-2</c:v>
                </c:pt>
                <c:pt idx="17">
                  <c:v>1.3506344370754476E-2</c:v>
                </c:pt>
                <c:pt idx="18">
                  <c:v>9.7616839429050667E-3</c:v>
                </c:pt>
                <c:pt idx="19">
                  <c:v>7.054270749683525E-3</c:v>
                </c:pt>
                <c:pt idx="20">
                  <c:v>5.0970786511269411E-3</c:v>
                </c:pt>
                <c:pt idx="21">
                  <c:v>3.6824232007509738E-3</c:v>
                </c:pt>
                <c:pt idx="22">
                  <c:v>2.6600542402937678E-3</c:v>
                </c:pt>
                <c:pt idx="23">
                  <c:v>1.9212901388120293E-3</c:v>
                </c:pt>
                <c:pt idx="24">
                  <c:v>1.3875296675407724E-3</c:v>
                </c:pt>
                <c:pt idx="25">
                  <c:v>1.0019351685214967E-3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28560"/>
        <c:axId val="308329120"/>
      </c:scatterChart>
      <c:valAx>
        <c:axId val="308328560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84"/>
              <c:y val="0.9269246031746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8329120"/>
        <c:crosses val="autoZero"/>
        <c:crossBetween val="midCat"/>
        <c:majorUnit val="5"/>
      </c:valAx>
      <c:valAx>
        <c:axId val="308329120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Utilidad</a:t>
                </a:r>
              </a:p>
            </c:rich>
          </c:tx>
          <c:layout>
            <c:manualLayout>
              <c:xMode val="edge"/>
              <c:yMode val="edge"/>
              <c:x val="5.039682539682554E-3"/>
              <c:y val="0.15032142857142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8328560"/>
        <c:crosses val="autoZero"/>
        <c:crossBetween val="midCat"/>
        <c:majorUnit val="1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1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Consumo</a:t>
            </a:r>
          </a:p>
        </c:rich>
      </c:tx>
      <c:layout>
        <c:manualLayout>
          <c:xMode val="edge"/>
          <c:yMode val="edge"/>
          <c:x val="0.1346607142857138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2"/>
          <c:w val="0.72529960317460518"/>
          <c:h val="0.67020317460317758"/>
        </c:manualLayout>
      </c:layout>
      <c:scatterChart>
        <c:scatterStyle val="lineMarker"/>
        <c:varyColors val="0"/>
        <c:ser>
          <c:idx val="1"/>
          <c:order val="0"/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(1)'!$M$5:$M$30</c:f>
              <c:numCache>
                <c:formatCode>0.0</c:formatCode>
                <c:ptCount val="26"/>
                <c:pt idx="0">
                  <c:v>27.207837410131393</c:v>
                </c:pt>
                <c:pt idx="1">
                  <c:v>28.37388758485131</c:v>
                </c:pt>
                <c:pt idx="2">
                  <c:v>29.589911338487791</c:v>
                </c:pt>
                <c:pt idx="3">
                  <c:v>30.858050395851556</c:v>
                </c:pt>
                <c:pt idx="4">
                  <c:v>32.18053826995947</c:v>
                </c:pt>
                <c:pt idx="5">
                  <c:v>33.559704195814874</c:v>
                </c:pt>
                <c:pt idx="6">
                  <c:v>34.997977232778368</c:v>
                </c:pt>
                <c:pt idx="7">
                  <c:v>36.49789054275459</c:v>
                </c:pt>
                <c:pt idx="8">
                  <c:v>38.062085851729776</c:v>
                </c:pt>
                <c:pt idx="9">
                  <c:v>39.693318102518191</c:v>
                </c:pt>
                <c:pt idx="10">
                  <c:v>41.394460306911832</c:v>
                </c:pt>
                <c:pt idx="11">
                  <c:v>43.168508605779486</c:v>
                </c:pt>
                <c:pt idx="12">
                  <c:v>45.018587546027163</c:v>
                </c:pt>
                <c:pt idx="13">
                  <c:v>46.947955583714048</c:v>
                </c:pt>
                <c:pt idx="14">
                  <c:v>48.960010823016063</c:v>
                </c:pt>
                <c:pt idx="15">
                  <c:v>51.058297001145334</c:v>
                </c:pt>
                <c:pt idx="16">
                  <c:v>53.246509729765847</c:v>
                </c:pt>
                <c:pt idx="17">
                  <c:v>55.528503003898663</c:v>
                </c:pt>
                <c:pt idx="18">
                  <c:v>57.908295989780036</c:v>
                </c:pt>
                <c:pt idx="19">
                  <c:v>60.390080103627746</c:v>
                </c:pt>
                <c:pt idx="20">
                  <c:v>62.97822639378321</c:v>
                </c:pt>
                <c:pt idx="21">
                  <c:v>65.677293239231062</c:v>
                </c:pt>
                <c:pt idx="22">
                  <c:v>68.492034378055237</c:v>
                </c:pt>
                <c:pt idx="23">
                  <c:v>71.427407279971902</c:v>
                </c:pt>
                <c:pt idx="24">
                  <c:v>74.488581877684979</c:v>
                </c:pt>
                <c:pt idx="25">
                  <c:v>77.680949672442893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(2)'!$M$5:$M$30</c:f>
              <c:numCache>
                <c:formatCode>0.0</c:formatCode>
                <c:ptCount val="26"/>
                <c:pt idx="0">
                  <c:v>28.707652534287256</c:v>
                </c:pt>
                <c:pt idx="1">
                  <c:v>29.301601821773978</c:v>
                </c:pt>
                <c:pt idx="2">
                  <c:v>29.907844130302966</c:v>
                </c:pt>
                <c:pt idx="3">
                  <c:v>30.526628618053195</c:v>
                </c:pt>
                <c:pt idx="4">
                  <c:v>31.158211065046473</c:v>
                </c:pt>
                <c:pt idx="5">
                  <c:v>31.802863960055355</c:v>
                </c:pt>
                <c:pt idx="6">
                  <c:v>32.460853336854683</c:v>
                </c:pt>
                <c:pt idx="7">
                  <c:v>33.132456901787158</c:v>
                </c:pt>
                <c:pt idx="8">
                  <c:v>33.817953987725673</c:v>
                </c:pt>
                <c:pt idx="9">
                  <c:v>34.517638461390106</c:v>
                </c:pt>
                <c:pt idx="10">
                  <c:v>35.231803415263911</c:v>
                </c:pt>
                <c:pt idx="11">
                  <c:v>35.960734107155552</c:v>
                </c:pt>
                <c:pt idx="12">
                  <c:v>36.704741609490256</c:v>
                </c:pt>
                <c:pt idx="13">
                  <c:v>37.46415819903126</c:v>
                </c:pt>
                <c:pt idx="14">
                  <c:v>38.239272685091592</c:v>
                </c:pt>
                <c:pt idx="15">
                  <c:v>39.030458530275048</c:v>
                </c:pt>
                <c:pt idx="16">
                  <c:v>39.837985045039758</c:v>
                </c:pt>
                <c:pt idx="17">
                  <c:v>40.662215157554094</c:v>
                </c:pt>
                <c:pt idx="18">
                  <c:v>41.503514938851417</c:v>
                </c:pt>
                <c:pt idx="19">
                  <c:v>42.362186465236668</c:v>
                </c:pt>
                <c:pt idx="20">
                  <c:v>43.238664278777158</c:v>
                </c:pt>
                <c:pt idx="21">
                  <c:v>44.133319157717757</c:v>
                </c:pt>
                <c:pt idx="22">
                  <c:v>45.04616906370368</c:v>
                </c:pt>
                <c:pt idx="23">
                  <c:v>45.978304615810679</c:v>
                </c:pt>
                <c:pt idx="24">
                  <c:v>46.929515269486522</c:v>
                </c:pt>
                <c:pt idx="25">
                  <c:v>47.900922882566071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331920"/>
        <c:axId val="308576160"/>
      </c:scatterChart>
      <c:valAx>
        <c:axId val="308331920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62"/>
              <c:y val="0.926924603174604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8576160"/>
        <c:crosses val="autoZero"/>
        <c:crossBetween val="midCat"/>
        <c:majorUnit val="5"/>
      </c:valAx>
      <c:valAx>
        <c:axId val="308576160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5.0396825396825523E-3"/>
              <c:y val="0.150321428571429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8331920"/>
        <c:crosses val="autoZero"/>
        <c:crossBetween val="midCat"/>
        <c:majorUnit val="20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2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la Utilidad</a:t>
            </a:r>
            <a:endParaRPr lang="es-ES" sz="12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346607142857138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8"/>
          <c:w val="0.72529960317460562"/>
          <c:h val="0.67020317460317813"/>
        </c:manualLayout>
      </c:layout>
      <c:scatterChart>
        <c:scatterStyle val="lineMarker"/>
        <c:varyColors val="0"/>
        <c:ser>
          <c:idx val="1"/>
          <c:order val="0"/>
          <c:spPr>
            <a:ln>
              <a:solidFill>
                <a:prstClr val="white">
                  <a:lumMod val="75000"/>
                </a:prst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(1)'!$O$5:$O$30</c:f>
              <c:numCache>
                <c:formatCode>0.0</c:formatCode>
                <c:ptCount val="26"/>
                <c:pt idx="0">
                  <c:v>3.3035050718759318</c:v>
                </c:pt>
                <c:pt idx="1">
                  <c:v>2.3896209078392601</c:v>
                </c:pt>
                <c:pt idx="2">
                  <c:v>1.7282823826908142</c:v>
                </c:pt>
                <c:pt idx="3">
                  <c:v>1.2497804916811328</c:v>
                </c:pt>
                <c:pt idx="4">
                  <c:v>0.90362397653895776</c:v>
                </c:pt>
                <c:pt idx="5">
                  <c:v>0.65324828705507609</c:v>
                </c:pt>
                <c:pt idx="6">
                  <c:v>0.47217919755880366</c:v>
                </c:pt>
                <c:pt idx="7">
                  <c:v>0.34125176842325222</c:v>
                </c:pt>
                <c:pt idx="8">
                  <c:v>0.24659477246239922</c:v>
                </c:pt>
                <c:pt idx="9">
                  <c:v>0.17817020126095182</c:v>
                </c:pt>
                <c:pt idx="10">
                  <c:v>0.12871519952462546</c:v>
                </c:pt>
                <c:pt idx="11">
                  <c:v>9.2975692555101783E-2</c:v>
                </c:pt>
                <c:pt idx="12">
                  <c:v>6.7151397770234419E-2</c:v>
                </c:pt>
                <c:pt idx="13">
                  <c:v>4.8493990408956453E-2</c:v>
                </c:pt>
                <c:pt idx="14">
                  <c:v>3.5016211925940621E-2</c:v>
                </c:pt>
                <c:pt idx="15">
                  <c:v>2.5281328052896585E-2</c:v>
                </c:pt>
                <c:pt idx="16">
                  <c:v>1.8250768684780518E-2</c:v>
                </c:pt>
                <c:pt idx="17">
                  <c:v>1.3173889930861661E-2</c:v>
                </c:pt>
                <c:pt idx="18">
                  <c:v>9.5082260824653781E-3</c:v>
                </c:pt>
                <c:pt idx="19">
                  <c:v>6.8618077041027519E-3</c:v>
                </c:pt>
                <c:pt idx="20">
                  <c:v>4.9514466780726171E-3</c:v>
                </c:pt>
                <c:pt idx="21">
                  <c:v>3.5725729563778437E-3</c:v>
                </c:pt>
                <c:pt idx="22">
                  <c:v>2.5774273468292582E-3</c:v>
                </c:pt>
                <c:pt idx="23">
                  <c:v>1.8592977626245301E-3</c:v>
                </c:pt>
                <c:pt idx="24">
                  <c:v>1.341125708428279E-3</c:v>
                </c:pt>
                <c:pt idx="25">
                  <c:v>9.6727256172176039E-4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(2)'!$L$5:$L$30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(2)'!$O$5:$O$30</c:f>
              <c:numCache>
                <c:formatCode>0.0</c:formatCode>
                <c:ptCount val="26"/>
                <c:pt idx="0">
                  <c:v>3.3571637260491016</c:v>
                </c:pt>
                <c:pt idx="1">
                  <c:v>2.4126015601527198</c:v>
                </c:pt>
                <c:pt idx="2">
                  <c:v>1.7337350976965109</c:v>
                </c:pt>
                <c:pt idx="3">
                  <c:v>1.2458452522428183</c:v>
                </c:pt>
                <c:pt idx="4">
                  <c:v>0.89522017078600269</c:v>
                </c:pt>
                <c:pt idx="5">
                  <c:v>0.64325064470306015</c:v>
                </c:pt>
                <c:pt idx="6">
                  <c:v>0.46218450255301813</c:v>
                </c:pt>
                <c:pt idx="7">
                  <c:v>0.33207447244977689</c:v>
                </c:pt>
                <c:pt idx="8">
                  <c:v>0.23858368038541636</c:v>
                </c:pt>
                <c:pt idx="9">
                  <c:v>0.17140808450622863</c:v>
                </c:pt>
                <c:pt idx="10">
                  <c:v>0.12314232872411612</c:v>
                </c:pt>
                <c:pt idx="11">
                  <c:v>8.8464501097053616E-2</c:v>
                </c:pt>
                <c:pt idx="12">
                  <c:v>6.3550137835497941E-2</c:v>
                </c:pt>
                <c:pt idx="13">
                  <c:v>4.5650967030781905E-2</c:v>
                </c:pt>
                <c:pt idx="14">
                  <c:v>3.2792124100211845E-2</c:v>
                </c:pt>
                <c:pt idx="15">
                  <c:v>2.3554587565875772E-2</c:v>
                </c:pt>
                <c:pt idx="16">
                  <c:v>1.6918731872212316E-2</c:v>
                </c:pt>
                <c:pt idx="17">
                  <c:v>1.2151969933064478E-2</c:v>
                </c:pt>
                <c:pt idx="18">
                  <c:v>8.7279519334854012E-3</c:v>
                </c:pt>
                <c:pt idx="19">
                  <c:v>6.2685167310849773E-3</c:v>
                </c:pt>
                <c:pt idx="20">
                  <c:v>4.5019883374853593E-3</c:v>
                </c:pt>
                <c:pt idx="21">
                  <c:v>3.233189913789054E-3</c:v>
                </c:pt>
                <c:pt idx="22">
                  <c:v>2.3219056262507192E-3</c:v>
                </c:pt>
                <c:pt idx="23">
                  <c:v>1.6674251771996594E-3</c:v>
                </c:pt>
                <c:pt idx="24">
                  <c:v>1.1973888244885004E-3</c:v>
                </c:pt>
                <c:pt idx="25">
                  <c:v>8.5983073586778621E-4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78960"/>
        <c:axId val="308579520"/>
      </c:scatterChart>
      <c:valAx>
        <c:axId val="308578960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84"/>
              <c:y val="0.9269246031746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8579520"/>
        <c:crosses val="autoZero"/>
        <c:crossBetween val="midCat"/>
        <c:majorUnit val="5"/>
      </c:valAx>
      <c:valAx>
        <c:axId val="308579520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Utilidad</a:t>
                </a:r>
              </a:p>
            </c:rich>
          </c:tx>
          <c:layout>
            <c:manualLayout>
              <c:xMode val="edge"/>
              <c:yMode val="edge"/>
              <c:x val="5.039682539682554E-3"/>
              <c:y val="0.150321428571429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8578960"/>
        <c:crosses val="autoZero"/>
        <c:crossBetween val="midCat"/>
        <c:majorUnit val="1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1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Consumo</a:t>
            </a:r>
          </a:p>
        </c:rich>
      </c:tx>
      <c:layout>
        <c:manualLayout>
          <c:xMode val="edge"/>
          <c:yMode val="edge"/>
          <c:x val="0.1346607142857138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2"/>
          <c:w val="0.72529960317460518"/>
          <c:h val="0.6702031746031775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'Datos España'!$B$8:$B$22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'Modelo (3)'!$M$5:$M$19</c:f>
              <c:numCache>
                <c:formatCode>0</c:formatCode>
                <c:ptCount val="15"/>
                <c:pt idx="0">
                  <c:v>349268</c:v>
                </c:pt>
                <c:pt idx="1">
                  <c:v>372871.81194906961</c:v>
                </c:pt>
                <c:pt idx="2">
                  <c:v>398070.78846668557</c:v>
                </c:pt>
                <c:pt idx="3">
                  <c:v>424972.73205552128</c:v>
                </c:pt>
                <c:pt idx="4">
                  <c:v>453692.73059796111</c:v>
                </c:pt>
                <c:pt idx="5">
                  <c:v>484353.64970791159</c:v>
                </c:pt>
                <c:pt idx="6">
                  <c:v>517086.65835614468</c:v>
                </c:pt>
                <c:pt idx="7">
                  <c:v>552031.79001782334</c:v>
                </c:pt>
                <c:pt idx="8">
                  <c:v>589338.54174282821</c:v>
                </c:pt>
                <c:pt idx="9">
                  <c:v>629166.51371173642</c:v>
                </c:pt>
                <c:pt idx="10">
                  <c:v>671686.09201350913</c:v>
                </c:pt>
                <c:pt idx="11">
                  <c:v>717079.17756584217</c:v>
                </c:pt>
                <c:pt idx="12">
                  <c:v>765539.96429654071</c:v>
                </c:pt>
                <c:pt idx="13">
                  <c:v>817275.76991501439</c:v>
                </c:pt>
                <c:pt idx="14">
                  <c:v>872507.92282797827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'Datos España'!$B$8:$B$22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xVal>
          <c:yVal>
            <c:numRef>
              <c:f>'Datos España'!$C$8:$C$22</c:f>
              <c:numCache>
                <c:formatCode>General</c:formatCode>
                <c:ptCount val="15"/>
                <c:pt idx="0">
                  <c:v>349268</c:v>
                </c:pt>
                <c:pt idx="1">
                  <c:v>368474</c:v>
                </c:pt>
                <c:pt idx="2">
                  <c:v>388373</c:v>
                </c:pt>
                <c:pt idx="3">
                  <c:v>414158</c:v>
                </c:pt>
                <c:pt idx="4">
                  <c:v>444982</c:v>
                </c:pt>
                <c:pt idx="5">
                  <c:v>484359</c:v>
                </c:pt>
                <c:pt idx="6">
                  <c:v>518484</c:v>
                </c:pt>
                <c:pt idx="7">
                  <c:v>550490</c:v>
                </c:pt>
                <c:pt idx="8">
                  <c:v>587127</c:v>
                </c:pt>
                <c:pt idx="9">
                  <c:v>636835</c:v>
                </c:pt>
                <c:pt idx="10">
                  <c:v>688864</c:v>
                </c:pt>
                <c:pt idx="11">
                  <c:v>742132</c:v>
                </c:pt>
                <c:pt idx="12">
                  <c:v>797903</c:v>
                </c:pt>
                <c:pt idx="13">
                  <c:v>834229</c:v>
                </c:pt>
                <c:pt idx="14">
                  <c:v>819206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582320"/>
        <c:axId val="308582880"/>
      </c:scatterChart>
      <c:valAx>
        <c:axId val="308582320"/>
        <c:scaling>
          <c:orientation val="minMax"/>
          <c:max val="2009"/>
          <c:min val="1995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62"/>
              <c:y val="0.926924603174604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8582880"/>
        <c:crosses val="autoZero"/>
        <c:crossBetween val="midCat"/>
        <c:majorUnit val="3"/>
      </c:valAx>
      <c:valAx>
        <c:axId val="308582880"/>
        <c:scaling>
          <c:orientation val="minMax"/>
          <c:max val="12000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MM de Euros</a:t>
                </a:r>
              </a:p>
            </c:rich>
          </c:tx>
          <c:layout>
            <c:manualLayout>
              <c:xMode val="edge"/>
              <c:yMode val="edge"/>
              <c:x val="5.0396825396825523E-3"/>
              <c:y val="0.1503214285714291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8582320"/>
        <c:crosses val="autoZero"/>
        <c:crossBetween val="midCat"/>
        <c:dispUnits>
          <c:builtInUnit val="tenThousands"/>
        </c:dispUnits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2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 la Renta</a:t>
            </a:r>
          </a:p>
        </c:rich>
      </c:tx>
      <c:layout>
        <c:manualLayout>
          <c:xMode val="edge"/>
          <c:yMode val="edge"/>
          <c:x val="0.1346607142857138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678"/>
          <c:w val="0.72529960317460562"/>
          <c:h val="0.670203174603178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(3)'!$L$5:$L$19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'Modelo (3)'!$N$5:$N$19</c:f>
              <c:numCache>
                <c:formatCode>0</c:formatCode>
                <c:ptCount val="15"/>
                <c:pt idx="0">
                  <c:v>459563.15789473685</c:v>
                </c:pt>
                <c:pt idx="1">
                  <c:v>490620.80519614421</c:v>
                </c:pt>
                <c:pt idx="2">
                  <c:v>523777.35324563889</c:v>
                </c:pt>
                <c:pt idx="3">
                  <c:v>559174.6474414753</c:v>
                </c:pt>
                <c:pt idx="4">
                  <c:v>596964.11920784356</c:v>
                </c:pt>
                <c:pt idx="5">
                  <c:v>637307.4338261995</c:v>
                </c:pt>
                <c:pt idx="6">
                  <c:v>680377.18204755883</c:v>
                </c:pt>
                <c:pt idx="7">
                  <c:v>726357.61844450433</c:v>
                </c:pt>
                <c:pt idx="8">
                  <c:v>775445.449661616</c:v>
                </c:pt>
                <c:pt idx="9">
                  <c:v>827850.6759364953</c:v>
                </c:pt>
                <c:pt idx="10">
                  <c:v>883797.48949145933</c:v>
                </c:pt>
                <c:pt idx="11">
                  <c:v>943525.23363926599</c:v>
                </c:pt>
                <c:pt idx="12">
                  <c:v>1007289.4267059746</c:v>
                </c:pt>
                <c:pt idx="13">
                  <c:v>1075362.8551513348</c:v>
                </c:pt>
                <c:pt idx="14">
                  <c:v>1148036.7405631293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'Modelo (3)'!$L$5:$L$19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numCache>
            </c:numRef>
          </c:xVal>
          <c:yVal>
            <c:numRef>
              <c:f>'Datos España'!$G$8:$G$22</c:f>
              <c:numCache>
                <c:formatCode>General</c:formatCode>
                <c:ptCount val="15"/>
                <c:pt idx="0">
                  <c:v>447205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2176"/>
        <c:axId val="305302736"/>
      </c:scatterChart>
      <c:valAx>
        <c:axId val="305302176"/>
        <c:scaling>
          <c:orientation val="minMax"/>
          <c:max val="15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4984"/>
              <c:y val="0.9269246031746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5302736"/>
        <c:crosses val="autoZero"/>
        <c:crossBetween val="midCat"/>
        <c:majorUnit val="2"/>
      </c:valAx>
      <c:valAx>
        <c:axId val="30530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MM de Euros</a:t>
                </a:r>
              </a:p>
            </c:rich>
          </c:tx>
          <c:layout>
            <c:manualLayout>
              <c:xMode val="edge"/>
              <c:yMode val="edge"/>
              <c:x val="3.9715896691591996E-3"/>
              <c:y val="0.14619966380202931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5302176"/>
        <c:crosses val="autoZero"/>
        <c:crossBetween val="midCat"/>
        <c:dispUnits>
          <c:builtInUnit val="tenThousands"/>
        </c:dispUnits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1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Consumo</a:t>
            </a:r>
          </a:p>
        </c:rich>
      </c:tx>
      <c:layout>
        <c:manualLayout>
          <c:xMode val="edge"/>
          <c:yMode val="edge"/>
          <c:x val="0.13466071428571322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736"/>
          <c:w val="0.72529960317460884"/>
          <c:h val="0.670203174603183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[1]!t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(4)'!$M$5:$M$30</c:f>
              <c:numCache>
                <c:formatCode>0.000</c:formatCode>
                <c:ptCount val="26"/>
                <c:pt idx="0">
                  <c:v>7398.168237691666</c:v>
                </c:pt>
                <c:pt idx="1">
                  <c:v>7764.9701618710615</c:v>
                </c:pt>
                <c:pt idx="2">
                  <c:v>8149.9581622870382</c:v>
                </c:pt>
                <c:pt idx="3">
                  <c:v>8554.0339064257259</c:v>
                </c:pt>
                <c:pt idx="4">
                  <c:v>8978.1437665377653</c:v>
                </c:pt>
                <c:pt idx="5">
                  <c:v>9423.2810361050251</c:v>
                </c:pt>
                <c:pt idx="6">
                  <c:v>9890.4882561999566</c:v>
                </c:pt>
                <c:pt idx="7">
                  <c:v>10380.859657186074</c:v>
                </c:pt>
                <c:pt idx="8">
                  <c:v>10895.543721478212</c:v>
                </c:pt>
                <c:pt idx="9">
                  <c:v>11435.745873364647</c:v>
                </c:pt>
                <c:pt idx="10">
                  <c:v>12002.731302190947</c:v>
                </c:pt>
                <c:pt idx="11">
                  <c:v>12597.827925517478</c:v>
                </c:pt>
                <c:pt idx="12">
                  <c:v>13222.429499190612</c:v>
                </c:pt>
                <c:pt idx="13">
                  <c:v>13877.998881611513</c:v>
                </c:pt>
                <c:pt idx="14">
                  <c:v>14566.071459847841</c:v>
                </c:pt>
                <c:pt idx="15">
                  <c:v>15288.25874561222</c:v>
                </c:pt>
                <c:pt idx="16">
                  <c:v>16046.252149529842</c:v>
                </c:pt>
                <c:pt idx="17">
                  <c:v>16841.826942534502</c:v>
                </c:pt>
                <c:pt idx="18">
                  <c:v>17676.846413671257</c:v>
                </c:pt>
                <c:pt idx="19">
                  <c:v>18553.266234043083</c:v>
                </c:pt>
                <c:pt idx="20">
                  <c:v>19473.13903712267</c:v>
                </c:pt>
                <c:pt idx="21">
                  <c:v>20438.619226156323</c:v>
                </c:pt>
                <c:pt idx="22">
                  <c:v>21451.968019919801</c:v>
                </c:pt>
                <c:pt idx="23">
                  <c:v>22515.55874864275</c:v>
                </c:pt>
                <c:pt idx="24">
                  <c:v>23631.882412505991</c:v>
                </c:pt>
                <c:pt idx="25">
                  <c:v>24803.553515729345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6096"/>
        <c:axId val="305306656"/>
      </c:scatterChart>
      <c:valAx>
        <c:axId val="305306096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5306"/>
              <c:y val="0.926924603174607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5306656"/>
        <c:crosses val="autoZero"/>
        <c:crossBetween val="midCat"/>
        <c:majorUnit val="5"/>
      </c:valAx>
      <c:valAx>
        <c:axId val="30530665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 i="1"/>
                </a:pPr>
                <a:r>
                  <a:rPr lang="es-ES" b="0" i="1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5.0396825396825827E-3"/>
              <c:y val="0.150321428571430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05306096"/>
        <c:crosses val="autoZero"/>
        <c:crossBetween val="midCat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spPr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2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la Renta</a:t>
            </a:r>
            <a:endParaRPr lang="es-ES" sz="12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346607142857131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742"/>
          <c:w val="0.72529960317460906"/>
          <c:h val="0.6702031746031835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(4)'!$L$5:$L$30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(4)'!$R$5:$R$30</c:f>
              <c:numCache>
                <c:formatCode>0.000</c:formatCode>
                <c:ptCount val="26"/>
                <c:pt idx="0">
                  <c:v>13684</c:v>
                </c:pt>
                <c:pt idx="1">
                  <c:v>18364.02500051125</c:v>
                </c:pt>
                <c:pt idx="2">
                  <c:v>23071.888454515109</c:v>
                </c:pt>
                <c:pt idx="3">
                  <c:v>27787.924776798835</c:v>
                </c:pt>
                <c:pt idx="4">
                  <c:v>32489.347053952646</c:v>
                </c:pt>
                <c:pt idx="5">
                  <c:v>37149.874877123555</c:v>
                </c:pt>
                <c:pt idx="6">
                  <c:v>41739.321796197255</c:v>
                </c:pt>
                <c:pt idx="7">
                  <c:v>46223.13818843411</c:v>
                </c:pt>
                <c:pt idx="8">
                  <c:v>50561.904904679956</c:v>
                </c:pt>
                <c:pt idx="9">
                  <c:v>54710.77258286492</c:v>
                </c:pt>
                <c:pt idx="10">
                  <c:v>58618.840997214953</c:v>
                </c:pt>
                <c:pt idx="11">
                  <c:v>62228.472237612288</c:v>
                </c:pt>
                <c:pt idx="12">
                  <c:v>65474.530881550119</c:v>
                </c:pt>
                <c:pt idx="13">
                  <c:v>68283.543625298757</c:v>
                </c:pt>
                <c:pt idx="14">
                  <c:v>70572.770074815533</c:v>
                </c:pt>
                <c:pt idx="15">
                  <c:v>72249.175553524066</c:v>
                </c:pt>
                <c:pt idx="16">
                  <c:v>73208.295855588454</c:v>
                </c:pt>
                <c:pt idx="17">
                  <c:v>73332.982851160225</c:v>
                </c:pt>
                <c:pt idx="18">
                  <c:v>72492.018724872047</c:v>
                </c:pt>
                <c:pt idx="19">
                  <c:v>70538.585390236796</c:v>
                </c:pt>
                <c:pt idx="20">
                  <c:v>67308.574259192595</c:v>
                </c:pt>
                <c:pt idx="21">
                  <c:v>62618.720045278103</c:v>
                </c:pt>
                <c:pt idx="22">
                  <c:v>56264.54062703831</c:v>
                </c:pt>
                <c:pt idx="23">
                  <c:v>48018.063180073237</c:v>
                </c:pt>
                <c:pt idx="24">
                  <c:v>37625.314784959883</c:v>
                </c:pt>
                <c:pt idx="25">
                  <c:v>24803.553515728472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09568"/>
        <c:axId val="304210128"/>
      </c:scatterChart>
      <c:valAx>
        <c:axId val="304209568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5351"/>
              <c:y val="0.926924603174607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210128"/>
        <c:crosses val="autoZero"/>
        <c:crossBetween val="midCat"/>
        <c:majorUnit val="5"/>
      </c:valAx>
      <c:valAx>
        <c:axId val="304210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304209568"/>
        <c:crosses val="autoZero"/>
        <c:crossBetween val="midCat"/>
        <c:minorUnit val="1.0000000000000005E-2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spPr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4 Demanda de Trabajo</a:t>
            </a:r>
            <a:endParaRPr lang="es-ES" sz="1200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13466071428571316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742"/>
          <c:w val="0.72529960317460906"/>
          <c:h val="0.6702031746031835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'Modelo (4)'!$L$5:$L$30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(4)'!$AG$5:$AG$30</c:f>
              <c:numCache>
                <c:formatCode>0.00</c:formatCode>
                <c:ptCount val="26"/>
                <c:pt idx="0">
                  <c:v>39.502305417954197</c:v>
                </c:pt>
                <c:pt idx="1">
                  <c:v>53.012373887250945</c:v>
                </c:pt>
                <c:pt idx="2">
                  <c:v>66.602805049636586</c:v>
                </c:pt>
                <c:pt idx="3">
                  <c:v>80.2168292505294</c:v>
                </c:pt>
                <c:pt idx="4">
                  <c:v>93.788666336973677</c:v>
                </c:pt>
                <c:pt idx="5">
                  <c:v>107.242451303341</c:v>
                </c:pt>
                <c:pt idx="6">
                  <c:v>120.49104337413451</c:v>
                </c:pt>
                <c:pt idx="7">
                  <c:v>133.43470637940854</c:v>
                </c:pt>
                <c:pt idx="8">
                  <c:v>145.95964703728617</c:v>
                </c:pt>
                <c:pt idx="9">
                  <c:v>157.93639639144729</c:v>
                </c:pt>
                <c:pt idx="10">
                  <c:v>169.21801814662962</c:v>
                </c:pt>
                <c:pt idx="11">
                  <c:v>179.63812598822304</c:v>
                </c:pt>
                <c:pt idx="12">
                  <c:v>189.00869014763714</c:v>
                </c:pt>
                <c:pt idx="13">
                  <c:v>197.11761146643897</c:v>
                </c:pt>
                <c:pt idx="14">
                  <c:v>203.72603900076157</c:v>
                </c:pt>
                <c:pt idx="15">
                  <c:v>208.56540477277827</c:v>
                </c:pt>
                <c:pt idx="16">
                  <c:v>211.33414659568879</c:v>
                </c:pt>
                <c:pt idx="17">
                  <c:v>211.69408694797784</c:v>
                </c:pt>
                <c:pt idx="18">
                  <c:v>209.26643262452134</c:v>
                </c:pt>
                <c:pt idx="19">
                  <c:v>203.62735631654309</c:v>
                </c:pt>
                <c:pt idx="20">
                  <c:v>194.30311733657382</c:v>
                </c:pt>
                <c:pt idx="21">
                  <c:v>180.76467437225566</c:v>
                </c:pt>
                <c:pt idx="22">
                  <c:v>162.42173838425603</c:v>
                </c:pt>
                <c:pt idx="23">
                  <c:v>138.61620851489872</c:v>
                </c:pt>
                <c:pt idx="24">
                  <c:v>108.61492809720498</c:v>
                </c:pt>
                <c:pt idx="25">
                  <c:v>71.601691495825619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12368"/>
        <c:axId val="304212928"/>
      </c:scatterChart>
      <c:valAx>
        <c:axId val="304212368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5351"/>
              <c:y val="0.926924603174607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212928"/>
        <c:crosses val="autoZero"/>
        <c:crossBetween val="midCat"/>
        <c:majorUnit val="5"/>
      </c:valAx>
      <c:valAx>
        <c:axId val="304212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crossAx val="304212368"/>
        <c:crosses val="autoZero"/>
        <c:crossBetween val="midCat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spPr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5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Demanda de Capital</a:t>
            </a:r>
          </a:p>
        </c:rich>
      </c:tx>
      <c:layout>
        <c:manualLayout>
          <c:xMode val="edge"/>
          <c:yMode val="edge"/>
          <c:x val="0.13466071428571311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744"/>
          <c:w val="0.72529960317460951"/>
          <c:h val="0.67020317460318413"/>
        </c:manualLayout>
      </c:layout>
      <c:scatterChart>
        <c:scatterStyle val="lineMarker"/>
        <c:varyColors val="0"/>
        <c:ser>
          <c:idx val="1"/>
          <c:order val="0"/>
          <c:marker>
            <c:symbol val="none"/>
          </c:marker>
          <c:xVal>
            <c:numRef>
              <c:f>'Modelo (4)'!$L$5:$L$30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(4)'!$Q$5:$Q$30</c:f>
              <c:numCache>
                <c:formatCode>0.0</c:formatCode>
                <c:ptCount val="26"/>
                <c:pt idx="0">
                  <c:v>2000</c:v>
                </c:pt>
                <c:pt idx="1">
                  <c:v>6285.831762308334</c:v>
                </c:pt>
                <c:pt idx="2">
                  <c:v>10599.05483864019</c:v>
                </c:pt>
                <c:pt idx="3">
                  <c:v>14921.930292228069</c:v>
                </c:pt>
                <c:pt idx="4">
                  <c:v>19233.890870373107</c:v>
                </c:pt>
                <c:pt idx="5">
                  <c:v>23511.203287414879</c:v>
                </c:pt>
                <c:pt idx="6">
                  <c:v>27726.59384101853</c:v>
                </c:pt>
                <c:pt idx="7">
                  <c:v>31848.8335399973</c:v>
                </c:pt>
                <c:pt idx="8">
                  <c:v>35842.278531248034</c:v>
                </c:pt>
                <c:pt idx="9">
                  <c:v>39666.361183201741</c:v>
                </c:pt>
                <c:pt idx="10">
                  <c:v>43275.026709500271</c:v>
                </c:pt>
                <c:pt idx="11">
                  <c:v>46616.109695024003</c:v>
                </c:pt>
                <c:pt idx="12">
                  <c:v>49630.64431209481</c:v>
                </c:pt>
                <c:pt idx="13">
                  <c:v>52252.101382359506</c:v>
                </c:pt>
                <c:pt idx="14">
                  <c:v>54405.544743687242</c:v>
                </c:pt>
                <c:pt idx="15">
                  <c:v>56006.698614967696</c:v>
                </c:pt>
                <c:pt idx="16">
                  <c:v>56960.916807911846</c:v>
                </c:pt>
                <c:pt idx="17">
                  <c:v>57162.043706058612</c:v>
                </c:pt>
                <c:pt idx="18">
                  <c:v>56491.155908625718</c:v>
                </c:pt>
                <c:pt idx="19">
                  <c:v>54815.172311200789</c:v>
                </c:pt>
                <c:pt idx="20">
                  <c:v>51985.319156193713</c:v>
                </c:pt>
                <c:pt idx="21">
                  <c:v>47835.435222069922</c:v>
                </c:pt>
                <c:pt idx="22">
                  <c:v>42180.100819121784</c:v>
                </c:pt>
                <c:pt idx="23">
                  <c:v>34812.572607118505</c:v>
                </c:pt>
                <c:pt idx="24">
                  <c:v>25502.504431430487</c:v>
                </c:pt>
                <c:pt idx="25">
                  <c:v>13993.432372453892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215728"/>
        <c:axId val="304216288"/>
      </c:scatterChart>
      <c:valAx>
        <c:axId val="304215728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5384"/>
              <c:y val="0.92692460317460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216288"/>
        <c:crosses val="autoZero"/>
        <c:crossBetween val="midCat"/>
        <c:majorUnit val="5"/>
      </c:valAx>
      <c:valAx>
        <c:axId val="304216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crossAx val="304215728"/>
        <c:crosses val="autoZero"/>
        <c:crossBetween val="midCat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spPr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Graf.</a:t>
            </a:r>
            <a:r>
              <a:rPr lang="es-ES" sz="1200" baseline="0">
                <a:solidFill>
                  <a:schemeClr val="tx2">
                    <a:lumMod val="75000"/>
                  </a:schemeClr>
                </a:solidFill>
              </a:rPr>
              <a:t> 3 </a:t>
            </a:r>
            <a:r>
              <a:rPr lang="es-ES" sz="1200">
                <a:solidFill>
                  <a:schemeClr val="tx2">
                    <a:lumMod val="75000"/>
                  </a:schemeClr>
                </a:solidFill>
              </a:rPr>
              <a:t>Senda del Capital</a:t>
            </a:r>
          </a:p>
        </c:rich>
      </c:tx>
      <c:layout>
        <c:manualLayout>
          <c:xMode val="edge"/>
          <c:yMode val="edge"/>
          <c:x val="0.13466071428571311"/>
          <c:y val="2.51984126984126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414484126984128"/>
          <c:y val="0.17134920634920744"/>
          <c:w val="0.72529960317460951"/>
          <c:h val="0.6702031746031841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'Modelo (4)'!$L$5:$L$30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xVal>
          <c:yVal>
            <c:numRef>
              <c:f>'Modelo (4)'!$P$5:$P$30</c:f>
              <c:numCache>
                <c:formatCode>0.000</c:formatCode>
                <c:ptCount val="26"/>
                <c:pt idx="0">
                  <c:v>6285.831762308334</c:v>
                </c:pt>
                <c:pt idx="1">
                  <c:v>10599.05483864019</c:v>
                </c:pt>
                <c:pt idx="2">
                  <c:v>14921.930292228069</c:v>
                </c:pt>
                <c:pt idx="3">
                  <c:v>19233.890870373107</c:v>
                </c:pt>
                <c:pt idx="4">
                  <c:v>23511.203287414879</c:v>
                </c:pt>
                <c:pt idx="5">
                  <c:v>27726.59384101853</c:v>
                </c:pt>
                <c:pt idx="6">
                  <c:v>31848.8335399973</c:v>
                </c:pt>
                <c:pt idx="7">
                  <c:v>35842.278531248034</c:v>
                </c:pt>
                <c:pt idx="8">
                  <c:v>39666.361183201741</c:v>
                </c:pt>
                <c:pt idx="9">
                  <c:v>43275.026709500271</c:v>
                </c:pt>
                <c:pt idx="10">
                  <c:v>46616.109695024003</c:v>
                </c:pt>
                <c:pt idx="11">
                  <c:v>49630.64431209481</c:v>
                </c:pt>
                <c:pt idx="12">
                  <c:v>52252.101382359506</c:v>
                </c:pt>
                <c:pt idx="13">
                  <c:v>54405.544743687242</c:v>
                </c:pt>
                <c:pt idx="14">
                  <c:v>56006.698614967696</c:v>
                </c:pt>
                <c:pt idx="15">
                  <c:v>56960.916807911846</c:v>
                </c:pt>
                <c:pt idx="16">
                  <c:v>57162.043706058612</c:v>
                </c:pt>
                <c:pt idx="17">
                  <c:v>56491.155908625718</c:v>
                </c:pt>
                <c:pt idx="18">
                  <c:v>54815.172311200789</c:v>
                </c:pt>
                <c:pt idx="19">
                  <c:v>51985.319156193713</c:v>
                </c:pt>
                <c:pt idx="20">
                  <c:v>47835.435222069922</c:v>
                </c:pt>
                <c:pt idx="21">
                  <c:v>42180.100819121784</c:v>
                </c:pt>
                <c:pt idx="22">
                  <c:v>34812.572607118505</c:v>
                </c:pt>
                <c:pt idx="23">
                  <c:v>25502.504431430487</c:v>
                </c:pt>
                <c:pt idx="24">
                  <c:v>13993.432372453892</c:v>
                </c:pt>
                <c:pt idx="25" formatCode="0.0000">
                  <c:v>-8.7311491370201111E-10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660128"/>
        <c:axId val="304660688"/>
      </c:scatterChart>
      <c:valAx>
        <c:axId val="304660128"/>
        <c:scaling>
          <c:orientation val="minMax"/>
          <c:max val="3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 i="1"/>
                </a:pPr>
                <a:r>
                  <a:rPr lang="es-ES" b="0" i="1"/>
                  <a:t>tiempo</a:t>
                </a:r>
              </a:p>
            </c:rich>
          </c:tx>
          <c:layout>
            <c:manualLayout>
              <c:xMode val="edge"/>
              <c:yMode val="edge"/>
              <c:x val="0.82074404761905384"/>
              <c:y val="0.92692460317460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660688"/>
        <c:crosses val="autoZero"/>
        <c:crossBetween val="midCat"/>
        <c:majorUnit val="5"/>
      </c:valAx>
      <c:valAx>
        <c:axId val="3046606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crossAx val="304660128"/>
        <c:crosses val="autoZero"/>
        <c:crossBetween val="midCat"/>
      </c:valAx>
      <c:spPr>
        <a:ln>
          <a:solidFill>
            <a:schemeClr val="tx1">
              <a:lumMod val="75000"/>
              <a:lumOff val="25000"/>
            </a:schemeClr>
          </a:solidFill>
        </a:ln>
      </c:spPr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6" fmlaLink="$B$9" max="99" min="1" page="10" val="40"/>
</file>

<file path=xl/ctrlProps/ctrlProp2.xml><?xml version="1.0" encoding="utf-8"?>
<formControlPr xmlns="http://schemas.microsoft.com/office/spreadsheetml/2009/9/main" objectType="Spin" dx="16" fmlaLink="$B$13" max="99" min="1" page="10" val="46"/>
</file>

<file path=xl/ctrlProps/ctrlProp3.xml><?xml version="1.0" encoding="utf-8"?>
<formControlPr xmlns="http://schemas.microsoft.com/office/spreadsheetml/2009/9/main" objectType="Spin" dx="16" fmlaLink="$B$9" max="99" min="1" page="10" val="40"/>
</file>

<file path=xl/ctrlProps/ctrlProp4.xml><?xml version="1.0" encoding="utf-8"?>
<formControlPr xmlns="http://schemas.microsoft.com/office/spreadsheetml/2009/9/main" objectType="Spin" dx="16" fmlaLink="$B$13" max="99" min="1" page="10" val="47"/>
</file>

<file path=xl/ctrlProps/ctrlProp5.xml><?xml version="1.0" encoding="utf-8"?>
<formControlPr xmlns="http://schemas.microsoft.com/office/spreadsheetml/2009/9/main" objectType="Spin" dx="16" fmlaLink="'Modelo (1)'!$B$9" max="99" min="1" page="10" val="40"/>
</file>

<file path=xl/ctrlProps/ctrlProp6.xml><?xml version="1.0" encoding="utf-8"?>
<formControlPr xmlns="http://schemas.microsoft.com/office/spreadsheetml/2009/9/main" objectType="Spin" dx="16" fmlaLink="'Modelo (1)'!$B$13" max="99" min="1" page="10" val="46"/>
</file>

<file path=xl/ctrlProps/ctrlProp7.xml><?xml version="1.0" encoding="utf-8"?>
<formControlPr xmlns="http://schemas.microsoft.com/office/spreadsheetml/2009/9/main" objectType="Spin" dx="16" fmlaLink="$B$9" inc="5" max="999" min="1" page="10" val="21"/>
</file>

<file path=xl/ctrlProps/ctrlProp8.xml><?xml version="1.0" encoding="utf-8"?>
<formControlPr xmlns="http://schemas.microsoft.com/office/spreadsheetml/2009/9/main" objectType="Spin" dx="16" fmlaLink="$B$13" inc="5" max="999" min="1" page="10" val="90"/>
</file>

<file path=xl/ctrlProps/ctrlProp9.xml><?xml version="1.0" encoding="utf-8"?>
<formControlPr xmlns="http://schemas.microsoft.com/office/spreadsheetml/2009/9/main" objectType="Spin" dx="16" fmlaLink="$B$7" max="99" min="1" page="10" val="7"/>
</file>

<file path=xl/ctrlProps/ctrlProp10.xml><?xml version="1.0" encoding="utf-8"?>
<formControlPr xmlns="http://schemas.microsoft.com/office/spreadsheetml/2009/9/main" objectType="Spin" dx="16" fmlaLink="$B$10" max="999" min="1" page="10" val="100"/>
</file>

<file path=xl/ctrlProps/ctrlProp11.xml><?xml version="1.0" encoding="utf-8"?>
<formControlPr xmlns="http://schemas.microsoft.com/office/spreadsheetml/2009/9/main" objectType="Spin" dx="16" fmlaLink="$D$19" inc="10" max="10000" page="10" val="2000"/>
</file>

<file path=xl/ctrlProps/ctrlProp12.xml><?xml version="1.0" encoding="utf-8"?>
<formControlPr xmlns="http://schemas.microsoft.com/office/spreadsheetml/2009/9/main" objectType="Spin" dx="16" fmlaLink="$B$22" max="100" min="1" page="10" val="10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41462</xdr:rowOff>
    </xdr:from>
    <xdr:to>
      <xdr:col>7</xdr:col>
      <xdr:colOff>28575</xdr:colOff>
      <xdr:row>13</xdr:row>
      <xdr:rowOff>296396</xdr:rowOff>
    </xdr:to>
    <xdr:pic>
      <xdr:nvPicPr>
        <xdr:cNvPr id="617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20103"/>
        <a:stretch>
          <a:fillRect/>
        </a:stretch>
      </xdr:blipFill>
      <xdr:spPr bwMode="auto">
        <a:xfrm>
          <a:off x="347382" y="400050"/>
          <a:ext cx="4398869" cy="5824258"/>
        </a:xfrm>
        <a:prstGeom prst="rect">
          <a:avLst/>
        </a:prstGeom>
        <a:noFill/>
      </xdr:spPr>
    </xdr:pic>
    <xdr:clientData/>
  </xdr:twoCellAnchor>
  <xdr:twoCellAnchor>
    <xdr:from>
      <xdr:col>12</xdr:col>
      <xdr:colOff>44824</xdr:colOff>
      <xdr:row>4</xdr:row>
      <xdr:rowOff>6724</xdr:rowOff>
    </xdr:from>
    <xdr:to>
      <xdr:col>12</xdr:col>
      <xdr:colOff>123265</xdr:colOff>
      <xdr:row>7</xdr:row>
      <xdr:rowOff>454958</xdr:rowOff>
    </xdr:to>
    <xdr:sp macro="" textlink="">
      <xdr:nvSpPr>
        <xdr:cNvPr id="7" name="6 Abrir corchete"/>
        <xdr:cNvSpPr/>
      </xdr:nvSpPr>
      <xdr:spPr>
        <a:xfrm>
          <a:off x="9065559" y="723900"/>
          <a:ext cx="78441" cy="1860176"/>
        </a:xfrm>
        <a:prstGeom prst="leftBracket">
          <a:avLst>
            <a:gd name="adj" fmla="val 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12</xdr:col>
      <xdr:colOff>354105</xdr:colOff>
      <xdr:row>4</xdr:row>
      <xdr:rowOff>6724</xdr:rowOff>
    </xdr:from>
    <xdr:to>
      <xdr:col>12</xdr:col>
      <xdr:colOff>448235</xdr:colOff>
      <xdr:row>7</xdr:row>
      <xdr:rowOff>454958</xdr:rowOff>
    </xdr:to>
    <xdr:sp macro="" textlink="">
      <xdr:nvSpPr>
        <xdr:cNvPr id="8" name="7 Abrir corchete"/>
        <xdr:cNvSpPr/>
      </xdr:nvSpPr>
      <xdr:spPr>
        <a:xfrm flipH="1">
          <a:off x="9374840" y="723900"/>
          <a:ext cx="94130" cy="1860176"/>
        </a:xfrm>
        <a:prstGeom prst="leftBracket">
          <a:avLst>
            <a:gd name="adj" fmla="val 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2</xdr:row>
      <xdr:rowOff>142875</xdr:rowOff>
    </xdr:from>
    <xdr:to>
      <xdr:col>9</xdr:col>
      <xdr:colOff>424499</xdr:colOff>
      <xdr:row>14</xdr:row>
      <xdr:rowOff>81600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114299</xdr:colOff>
      <xdr:row>15</xdr:row>
      <xdr:rowOff>0</xdr:rowOff>
    </xdr:from>
    <xdr:to>
      <xdr:col>9</xdr:col>
      <xdr:colOff>424499</xdr:colOff>
      <xdr:row>27</xdr:row>
      <xdr:rowOff>119700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8</xdr:row>
          <xdr:rowOff>47625</xdr:rowOff>
        </xdr:from>
        <xdr:to>
          <xdr:col>1</xdr:col>
          <xdr:colOff>409575</xdr:colOff>
          <xdr:row>9</xdr:row>
          <xdr:rowOff>152400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12</xdr:row>
          <xdr:rowOff>47625</xdr:rowOff>
        </xdr:from>
        <xdr:to>
          <xdr:col>1</xdr:col>
          <xdr:colOff>409575</xdr:colOff>
          <xdr:row>13</xdr:row>
          <xdr:rowOff>152400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2</xdr:row>
      <xdr:rowOff>142875</xdr:rowOff>
    </xdr:from>
    <xdr:to>
      <xdr:col>9</xdr:col>
      <xdr:colOff>424499</xdr:colOff>
      <xdr:row>14</xdr:row>
      <xdr:rowOff>81600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114299</xdr:colOff>
      <xdr:row>15</xdr:row>
      <xdr:rowOff>0</xdr:rowOff>
    </xdr:from>
    <xdr:to>
      <xdr:col>9</xdr:col>
      <xdr:colOff>424499</xdr:colOff>
      <xdr:row>27</xdr:row>
      <xdr:rowOff>119700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8</xdr:row>
          <xdr:rowOff>47625</xdr:rowOff>
        </xdr:from>
        <xdr:to>
          <xdr:col>1</xdr:col>
          <xdr:colOff>409575</xdr:colOff>
          <xdr:row>9</xdr:row>
          <xdr:rowOff>152400</xdr:rowOff>
        </xdr:to>
        <xdr:sp macro="" textlink="">
          <xdr:nvSpPr>
            <xdr:cNvPr id="11265" name="Spinner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12</xdr:row>
          <xdr:rowOff>47625</xdr:rowOff>
        </xdr:from>
        <xdr:to>
          <xdr:col>1</xdr:col>
          <xdr:colOff>409575</xdr:colOff>
          <xdr:row>13</xdr:row>
          <xdr:rowOff>152400</xdr:rowOff>
        </xdr:to>
        <xdr:sp macro="" textlink="">
          <xdr:nvSpPr>
            <xdr:cNvPr id="11266" name="Spinner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2</xdr:row>
      <xdr:rowOff>142875</xdr:rowOff>
    </xdr:from>
    <xdr:to>
      <xdr:col>9</xdr:col>
      <xdr:colOff>424499</xdr:colOff>
      <xdr:row>14</xdr:row>
      <xdr:rowOff>81600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114299</xdr:colOff>
      <xdr:row>15</xdr:row>
      <xdr:rowOff>0</xdr:rowOff>
    </xdr:from>
    <xdr:to>
      <xdr:col>9</xdr:col>
      <xdr:colOff>424499</xdr:colOff>
      <xdr:row>27</xdr:row>
      <xdr:rowOff>119700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8</xdr:row>
          <xdr:rowOff>47625</xdr:rowOff>
        </xdr:from>
        <xdr:to>
          <xdr:col>1</xdr:col>
          <xdr:colOff>409575</xdr:colOff>
          <xdr:row>9</xdr:row>
          <xdr:rowOff>152400</xdr:rowOff>
        </xdr:to>
        <xdr:sp macro="" textlink="">
          <xdr:nvSpPr>
            <xdr:cNvPr id="5123" name="Spinner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12</xdr:row>
          <xdr:rowOff>47625</xdr:rowOff>
        </xdr:from>
        <xdr:to>
          <xdr:col>1</xdr:col>
          <xdr:colOff>409575</xdr:colOff>
          <xdr:row>13</xdr:row>
          <xdr:rowOff>152400</xdr:rowOff>
        </xdr:to>
        <xdr:sp macro="" textlink="">
          <xdr:nvSpPr>
            <xdr:cNvPr id="5124" name="Spinner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2</xdr:row>
      <xdr:rowOff>142875</xdr:rowOff>
    </xdr:from>
    <xdr:to>
      <xdr:col>9</xdr:col>
      <xdr:colOff>424499</xdr:colOff>
      <xdr:row>14</xdr:row>
      <xdr:rowOff>81600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114299</xdr:colOff>
      <xdr:row>15</xdr:row>
      <xdr:rowOff>0</xdr:rowOff>
    </xdr:from>
    <xdr:to>
      <xdr:col>9</xdr:col>
      <xdr:colOff>424499</xdr:colOff>
      <xdr:row>24</xdr:row>
      <xdr:rowOff>366229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8</xdr:row>
          <xdr:rowOff>47625</xdr:rowOff>
        </xdr:from>
        <xdr:to>
          <xdr:col>1</xdr:col>
          <xdr:colOff>409575</xdr:colOff>
          <xdr:row>9</xdr:row>
          <xdr:rowOff>152400</xdr:rowOff>
        </xdr:to>
        <xdr:sp macro="" textlink="">
          <xdr:nvSpPr>
            <xdr:cNvPr id="7169" name="Spinner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12</xdr:row>
          <xdr:rowOff>47625</xdr:rowOff>
        </xdr:from>
        <xdr:to>
          <xdr:col>1</xdr:col>
          <xdr:colOff>409575</xdr:colOff>
          <xdr:row>13</xdr:row>
          <xdr:rowOff>152400</xdr:rowOff>
        </xdr:to>
        <xdr:sp macro="" textlink="">
          <xdr:nvSpPr>
            <xdr:cNvPr id="7170" name="Spinner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114299</xdr:colOff>
      <xdr:row>2</xdr:row>
      <xdr:rowOff>75638</xdr:rowOff>
    </xdr:from>
    <xdr:to>
      <xdr:col>9</xdr:col>
      <xdr:colOff>424499</xdr:colOff>
      <xdr:row>13</xdr:row>
      <xdr:rowOff>202747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114299</xdr:colOff>
      <xdr:row>13</xdr:row>
      <xdr:rowOff>208988</xdr:rowOff>
    </xdr:from>
    <xdr:to>
      <xdr:col>9</xdr:col>
      <xdr:colOff>424499</xdr:colOff>
      <xdr:row>26</xdr:row>
      <xdr:rowOff>4837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114299</xdr:colOff>
      <xdr:row>2</xdr:row>
      <xdr:rowOff>75638</xdr:rowOff>
    </xdr:from>
    <xdr:to>
      <xdr:col>30</xdr:col>
      <xdr:colOff>424499</xdr:colOff>
      <xdr:row>13</xdr:row>
      <xdr:rowOff>202747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</xdr:col>
      <xdr:colOff>114299</xdr:colOff>
      <xdr:row>13</xdr:row>
      <xdr:rowOff>208988</xdr:rowOff>
    </xdr:from>
    <xdr:to>
      <xdr:col>30</xdr:col>
      <xdr:colOff>424499</xdr:colOff>
      <xdr:row>26</xdr:row>
      <xdr:rowOff>4837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114299</xdr:colOff>
      <xdr:row>26</xdr:row>
      <xdr:rowOff>81242</xdr:rowOff>
    </xdr:from>
    <xdr:to>
      <xdr:col>9</xdr:col>
      <xdr:colOff>424499</xdr:colOff>
      <xdr:row>38</xdr:row>
      <xdr:rowOff>86642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4</xdr:row>
          <xdr:rowOff>152400</xdr:rowOff>
        </xdr:from>
        <xdr:to>
          <xdr:col>1</xdr:col>
          <xdr:colOff>400050</xdr:colOff>
          <xdr:row>6</xdr:row>
          <xdr:rowOff>38100</xdr:rowOff>
        </xdr:to>
        <xdr:sp macro="" textlink="">
          <xdr:nvSpPr>
            <xdr:cNvPr id="10241" name="Spinner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9</xdr:row>
          <xdr:rowOff>47625</xdr:rowOff>
        </xdr:from>
        <xdr:to>
          <xdr:col>1</xdr:col>
          <xdr:colOff>409575</xdr:colOff>
          <xdr:row>10</xdr:row>
          <xdr:rowOff>152400</xdr:rowOff>
        </xdr:to>
        <xdr:sp macro="" textlink="">
          <xdr:nvSpPr>
            <xdr:cNvPr id="10242" name="Spinner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161925</xdr:colOff>
          <xdr:row>17</xdr:row>
          <xdr:rowOff>47625</xdr:rowOff>
        </xdr:from>
        <xdr:to>
          <xdr:col>1</xdr:col>
          <xdr:colOff>409575</xdr:colOff>
          <xdr:row>18</xdr:row>
          <xdr:rowOff>152400</xdr:rowOff>
        </xdr:to>
        <xdr:sp macro="" textlink="">
          <xdr:nvSpPr>
            <xdr:cNvPr id="10243" name="Spinner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21</xdr:row>
          <xdr:rowOff>66675</xdr:rowOff>
        </xdr:from>
        <xdr:to>
          <xdr:col>1</xdr:col>
          <xdr:colOff>390525</xdr:colOff>
          <xdr:row>22</xdr:row>
          <xdr:rowOff>171450</xdr:rowOff>
        </xdr:to>
        <xdr:sp macro="" textlink="">
          <xdr:nvSpPr>
            <xdr:cNvPr id="10244" name="Spinner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o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2"/>
    </sheetNames>
    <definedNames>
      <definedName name="t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Q16"/>
  <sheetViews>
    <sheetView showGridLines="0" topLeftCell="A7" zoomScale="85" zoomScaleNormal="85" workbookViewId="0">
      <selection activeCell="I10" sqref="I10"/>
    </sheetView>
  </sheetViews>
  <sheetFormatPr baseColWidth="10" defaultColWidth="0" defaultRowHeight="0" customHeight="1" zeroHeight="1"/>
  <cols>
    <col min="1" max="1" width="5.140625" customWidth="1"/>
    <col min="2" max="7" width="11" customWidth="1"/>
    <col min="8" max="11" width="11.42578125" style="64" customWidth="1"/>
    <col min="12" max="12" width="11.42578125" style="65" customWidth="1"/>
    <col min="13" max="13" width="7.42578125" style="64" customWidth="1"/>
    <col min="14" max="14" width="28.28515625" style="64" customWidth="1"/>
    <col min="15" max="15" width="11.42578125" style="64" customWidth="1"/>
    <col min="16" max="17" width="11.42578125" hidden="1" customWidth="1"/>
  </cols>
  <sheetData>
    <row r="1" spans="2:13" ht="28.5" customHeight="1"/>
    <row r="2" spans="2:13" ht="28.5" customHeight="1" thickBot="1">
      <c r="B2" s="38"/>
      <c r="C2" s="38"/>
      <c r="D2" s="38"/>
      <c r="E2" s="38"/>
      <c r="F2" s="38"/>
      <c r="G2" s="38"/>
      <c r="I2" s="66" t="s">
        <v>25</v>
      </c>
      <c r="M2" s="67" t="s">
        <v>48</v>
      </c>
    </row>
    <row r="3" spans="2:13" ht="36.75" customHeight="1">
      <c r="B3" s="34"/>
      <c r="C3" s="34"/>
      <c r="D3" s="34"/>
      <c r="G3" s="34"/>
      <c r="I3" s="40">
        <f>alpha</f>
        <v>1.4999999999999999E-2</v>
      </c>
      <c r="M3" s="67" t="s">
        <v>49</v>
      </c>
    </row>
    <row r="4" spans="2:13" ht="36.75" customHeight="1">
      <c r="B4" s="35"/>
      <c r="C4" s="35"/>
      <c r="D4" s="35"/>
      <c r="G4" s="35"/>
      <c r="I4" s="41">
        <f>beta</f>
        <v>0.06</v>
      </c>
    </row>
    <row r="5" spans="2:13" ht="36.75" customHeight="1">
      <c r="B5" s="35"/>
      <c r="C5" s="35"/>
      <c r="D5" s="35"/>
      <c r="G5" s="35"/>
      <c r="I5" s="41">
        <f>gamma</f>
        <v>3</v>
      </c>
      <c r="L5" s="115" t="s">
        <v>47</v>
      </c>
      <c r="M5" s="68">
        <v>1</v>
      </c>
    </row>
    <row r="6" spans="2:13" ht="36.75" customHeight="1">
      <c r="B6" s="35"/>
      <c r="C6" s="36"/>
      <c r="D6" s="36"/>
      <c r="G6" s="35"/>
      <c r="I6" s="41">
        <f>rho</f>
        <v>0.5</v>
      </c>
      <c r="L6" s="115"/>
      <c r="M6" s="68">
        <v>3</v>
      </c>
    </row>
    <row r="7" spans="2:13" ht="36.75" customHeight="1">
      <c r="B7" s="35"/>
      <c r="C7" s="36"/>
      <c r="D7" s="36"/>
      <c r="E7" s="35"/>
      <c r="F7" s="35"/>
      <c r="G7" s="35"/>
      <c r="I7" s="41">
        <f>X_t</f>
        <v>5</v>
      </c>
      <c r="L7" s="115"/>
      <c r="M7" s="68">
        <v>5</v>
      </c>
    </row>
    <row r="8" spans="2:13" ht="36.75" customHeight="1">
      <c r="B8" s="35"/>
      <c r="C8" s="36"/>
      <c r="D8" s="36"/>
      <c r="E8" s="35"/>
      <c r="F8" s="35"/>
      <c r="G8" s="35"/>
      <c r="I8" s="41">
        <f>alpha^2</f>
        <v>2.2499999999999999E-4</v>
      </c>
      <c r="L8" s="115"/>
      <c r="M8" s="68">
        <v>2</v>
      </c>
    </row>
    <row r="9" spans="2:13" ht="36.75" customHeight="1">
      <c r="B9" s="35"/>
      <c r="C9" s="37"/>
      <c r="D9" s="36"/>
      <c r="E9" s="35"/>
      <c r="F9" s="35"/>
      <c r="G9" s="35"/>
      <c r="I9" s="41">
        <f>X_3^2</f>
        <v>25</v>
      </c>
    </row>
    <row r="10" spans="2:13" ht="36.75" customHeight="1">
      <c r="B10" s="35"/>
      <c r="C10" s="35"/>
      <c r="D10" s="36"/>
      <c r="E10" s="35"/>
      <c r="F10" s="35"/>
      <c r="G10" s="35"/>
      <c r="I10" s="41" t="e">
        <f>LN(X_t)</f>
        <v>#VALUE!</v>
      </c>
      <c r="M10" s="68">
        <v>1.4999999999999999E-2</v>
      </c>
    </row>
    <row r="11" spans="2:13" ht="39.75" customHeight="1">
      <c r="B11" s="35"/>
      <c r="C11" s="36"/>
      <c r="D11" s="36"/>
      <c r="E11" s="35"/>
      <c r="F11" s="35"/>
      <c r="G11" s="35"/>
      <c r="I11" s="41">
        <f>SUM(X_t)</f>
        <v>11</v>
      </c>
      <c r="M11" s="68">
        <v>0.06</v>
      </c>
    </row>
    <row r="12" spans="2:13" ht="33" customHeight="1">
      <c r="B12" s="35"/>
      <c r="C12" s="37"/>
      <c r="D12" s="36"/>
      <c r="E12" s="35"/>
      <c r="F12" s="35"/>
      <c r="G12" s="35"/>
      <c r="I12" s="41">
        <f>beta*X_2</f>
        <v>0.18</v>
      </c>
      <c r="M12" s="68">
        <v>3</v>
      </c>
    </row>
    <row r="13" spans="2:13" ht="41.25" customHeight="1">
      <c r="B13" s="35"/>
      <c r="C13" s="36"/>
      <c r="D13" s="36"/>
      <c r="E13" s="35"/>
      <c r="F13" s="35"/>
      <c r="G13" s="35"/>
      <c r="I13" s="41">
        <f>1/(1+rho)</f>
        <v>0.66666666666666663</v>
      </c>
      <c r="M13" s="68">
        <v>0.5</v>
      </c>
    </row>
    <row r="14" spans="2:13" ht="35.25" customHeight="1">
      <c r="D14" s="33"/>
    </row>
    <row r="15" spans="2:13" ht="35.25" hidden="1" customHeight="1">
      <c r="C15" s="32"/>
      <c r="D15" s="32"/>
    </row>
    <row r="16" spans="2:13" ht="35.25" hidden="1" customHeight="1"/>
  </sheetData>
  <sheetProtection sheet="1" objects="1" scenarios="1" selectLockedCells="1"/>
  <mergeCells count="1">
    <mergeCell ref="L5:L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2:R37"/>
  <sheetViews>
    <sheetView showGridLines="0" topLeftCell="A15" zoomScale="85" zoomScaleNormal="85" workbookViewId="0">
      <selection activeCell="N34" sqref="N34"/>
    </sheetView>
  </sheetViews>
  <sheetFormatPr baseColWidth="10" defaultRowHeight="15.75" customHeight="1"/>
  <cols>
    <col min="1" max="1" width="4" style="1" customWidth="1"/>
    <col min="2" max="2" width="6.5703125" style="1" customWidth="1"/>
    <col min="3" max="3" width="8.140625" style="1" customWidth="1"/>
    <col min="4" max="4" width="8.28515625" style="1" customWidth="1"/>
    <col min="5" max="5" width="4" style="1" customWidth="1"/>
    <col min="6" max="10" width="8.28515625" style="1" customWidth="1"/>
    <col min="11" max="11" width="4" style="1" customWidth="1"/>
    <col min="12" max="12" width="11.42578125" style="1"/>
    <col min="13" max="14" width="11.7109375" style="1" customWidth="1"/>
    <col min="15" max="15" width="13.7109375" style="1" customWidth="1"/>
    <col min="16" max="16" width="4" style="1" customWidth="1"/>
    <col min="17" max="18" width="15.140625" style="1" customWidth="1"/>
    <col min="19" max="19" width="4.140625" style="1" customWidth="1"/>
    <col min="20" max="16384" width="11.42578125" style="1"/>
  </cols>
  <sheetData>
    <row r="2" spans="2:18" ht="27.75" customHeight="1" thickBot="1">
      <c r="B2" s="27" t="s">
        <v>22</v>
      </c>
      <c r="C2" s="27"/>
      <c r="D2" s="27"/>
      <c r="E2" s="28"/>
      <c r="F2" s="27" t="s">
        <v>23</v>
      </c>
      <c r="G2" s="27"/>
      <c r="H2" s="27"/>
      <c r="I2" s="27"/>
      <c r="J2" s="27"/>
      <c r="K2" s="28"/>
      <c r="L2" s="27" t="s">
        <v>24</v>
      </c>
      <c r="M2" s="29"/>
      <c r="N2" s="29"/>
      <c r="O2" s="29"/>
      <c r="P2" s="29"/>
      <c r="Q2" s="29"/>
      <c r="R2" s="29"/>
    </row>
    <row r="3" spans="2:18" ht="15.75" customHeight="1">
      <c r="L3" s="3" t="s">
        <v>0</v>
      </c>
      <c r="M3" s="3" t="s">
        <v>1</v>
      </c>
      <c r="N3" s="3" t="s">
        <v>2</v>
      </c>
      <c r="O3" s="3" t="s">
        <v>10</v>
      </c>
      <c r="Q3" s="17" t="s">
        <v>11</v>
      </c>
      <c r="R3" s="17"/>
    </row>
    <row r="4" spans="2:18" ht="30">
      <c r="B4" s="4" t="s">
        <v>8</v>
      </c>
      <c r="C4" s="4"/>
      <c r="D4" s="8"/>
      <c r="L4" s="12" t="s">
        <v>3</v>
      </c>
      <c r="M4" s="12" t="s">
        <v>12</v>
      </c>
      <c r="N4" s="12" t="s">
        <v>13</v>
      </c>
      <c r="O4" s="12" t="s">
        <v>14</v>
      </c>
      <c r="P4" s="13"/>
      <c r="Q4" s="18" t="s">
        <v>16</v>
      </c>
      <c r="R4" s="18" t="s">
        <v>15</v>
      </c>
    </row>
    <row r="5" spans="2:18" ht="15.75" customHeight="1">
      <c r="B5" s="9"/>
      <c r="C5" s="116" t="s">
        <v>9</v>
      </c>
      <c r="D5" s="118">
        <f>1/(1+delta)</f>
        <v>0.7142857142857143</v>
      </c>
      <c r="L5" s="5">
        <v>0</v>
      </c>
      <c r="M5" s="62">
        <f t="array" ref="M5:M30">(beta^t )*((1+rho)^t )*SUM(Y_t/(1+rho)^t )/SUM(beta^t )</f>
        <v>27.207837410131393</v>
      </c>
      <c r="N5" s="62">
        <v>30</v>
      </c>
      <c r="O5" s="62">
        <f t="array" ref="O5:O30">(beta^t)*LN(C_t)</f>
        <v>3.3035050718759318</v>
      </c>
      <c r="Q5" s="7">
        <f t="array" ref="Q5:Q30">C_t/((1+rho)^t)</f>
        <v>27.207837410131393</v>
      </c>
      <c r="R5" s="7">
        <f t="array" ref="R5:R30">Y_t/(1+rho)^t</f>
        <v>30</v>
      </c>
    </row>
    <row r="6" spans="2:18" ht="15.75" customHeight="1">
      <c r="B6" s="2"/>
      <c r="C6" s="117"/>
      <c r="D6" s="119"/>
      <c r="L6" s="6">
        <v>1</v>
      </c>
      <c r="M6" s="62">
        <v>28.37388758485131</v>
      </c>
      <c r="N6" s="62">
        <f t="shared" ref="N6:N30" si="0">Y_0</f>
        <v>30</v>
      </c>
      <c r="O6" s="62">
        <v>2.3896209078392601</v>
      </c>
      <c r="Q6" s="7">
        <v>19.43416957866528</v>
      </c>
      <c r="R6" s="7">
        <v>20.547945205479454</v>
      </c>
    </row>
    <row r="7" spans="2:18" ht="15.75" customHeight="1">
      <c r="C7" s="11"/>
      <c r="L7" s="6">
        <v>2</v>
      </c>
      <c r="M7" s="62">
        <v>29.589911338487791</v>
      </c>
      <c r="N7" s="62">
        <f t="shared" si="0"/>
        <v>30</v>
      </c>
      <c r="O7" s="62">
        <v>1.7282823826908142</v>
      </c>
      <c r="Q7" s="7">
        <v>13.88154969904663</v>
      </c>
      <c r="R7" s="7">
        <v>14.073935072246202</v>
      </c>
    </row>
    <row r="8" spans="2:18" ht="15.75" customHeight="1">
      <c r="B8" s="4" t="s">
        <v>4</v>
      </c>
      <c r="C8" s="14"/>
      <c r="D8" s="8"/>
      <c r="L8" s="6">
        <v>3</v>
      </c>
      <c r="M8" s="62">
        <v>30.858050395851556</v>
      </c>
      <c r="N8" s="62">
        <f t="shared" si="0"/>
        <v>30</v>
      </c>
      <c r="O8" s="62">
        <v>1.2497804916811328</v>
      </c>
      <c r="Q8" s="7">
        <v>9.9153926421761653</v>
      </c>
      <c r="R8" s="7">
        <v>9.6396815563330147</v>
      </c>
    </row>
    <row r="9" spans="2:18" ht="15.75" customHeight="1">
      <c r="B9" s="63">
        <v>40</v>
      </c>
      <c r="C9" s="116" t="s">
        <v>5</v>
      </c>
      <c r="D9" s="118">
        <f>B9/100</f>
        <v>0.4</v>
      </c>
      <c r="L9" s="6">
        <v>4</v>
      </c>
      <c r="M9" s="62">
        <v>32.18053826995947</v>
      </c>
      <c r="N9" s="62">
        <f t="shared" si="0"/>
        <v>30</v>
      </c>
      <c r="O9" s="62">
        <v>0.90362397653895776</v>
      </c>
      <c r="Q9" s="7">
        <v>7.0824233158401171</v>
      </c>
      <c r="R9" s="7">
        <v>6.602521613926724</v>
      </c>
    </row>
    <row r="10" spans="2:18" ht="15.75" customHeight="1">
      <c r="B10" s="2"/>
      <c r="C10" s="117"/>
      <c r="D10" s="119"/>
      <c r="L10" s="6">
        <v>5</v>
      </c>
      <c r="M10" s="62">
        <v>33.559704195814874</v>
      </c>
      <c r="N10" s="62">
        <f t="shared" si="0"/>
        <v>30</v>
      </c>
      <c r="O10" s="62">
        <v>0.65324828705507609</v>
      </c>
      <c r="Q10" s="7">
        <v>5.0588737970286548</v>
      </c>
      <c r="R10" s="7">
        <v>4.5222750780320027</v>
      </c>
    </row>
    <row r="11" spans="2:18" ht="15.75" customHeight="1">
      <c r="C11" s="11"/>
      <c r="L11" s="6">
        <v>6</v>
      </c>
      <c r="M11" s="62">
        <v>34.997977232778368</v>
      </c>
      <c r="N11" s="62">
        <f t="shared" si="0"/>
        <v>30</v>
      </c>
      <c r="O11" s="62">
        <v>0.47217919755880366</v>
      </c>
      <c r="Q11" s="7">
        <v>3.6134812835918968</v>
      </c>
      <c r="R11" s="7">
        <v>3.097448683583564</v>
      </c>
    </row>
    <row r="12" spans="2:18" ht="15.75" customHeight="1">
      <c r="B12" s="4" t="s">
        <v>6</v>
      </c>
      <c r="C12" s="14"/>
      <c r="D12" s="8"/>
      <c r="L12" s="6">
        <v>7</v>
      </c>
      <c r="M12" s="62">
        <v>36.49789054275459</v>
      </c>
      <c r="N12" s="62">
        <f t="shared" si="0"/>
        <v>30</v>
      </c>
      <c r="O12" s="62">
        <v>0.34125176842325222</v>
      </c>
      <c r="Q12" s="7">
        <v>2.5810580597084982</v>
      </c>
      <c r="R12" s="7">
        <v>2.1215401942353176</v>
      </c>
    </row>
    <row r="13" spans="2:18" ht="15.75" customHeight="1">
      <c r="B13" s="63">
        <v>46</v>
      </c>
      <c r="C13" s="116" t="s">
        <v>7</v>
      </c>
      <c r="D13" s="120">
        <f>+B13/100</f>
        <v>0.46</v>
      </c>
      <c r="L13" s="6">
        <v>8</v>
      </c>
      <c r="M13" s="62">
        <v>38.062085851729776</v>
      </c>
      <c r="N13" s="62">
        <f t="shared" si="0"/>
        <v>30</v>
      </c>
      <c r="O13" s="62">
        <v>0.24659477246239922</v>
      </c>
      <c r="Q13" s="7">
        <v>1.843612899791784</v>
      </c>
      <c r="R13" s="7">
        <v>1.453109722078985</v>
      </c>
    </row>
    <row r="14" spans="2:18" ht="15.75" customHeight="1">
      <c r="B14" s="2"/>
      <c r="C14" s="117"/>
      <c r="D14" s="121"/>
      <c r="L14" s="6">
        <v>9</v>
      </c>
      <c r="M14" s="62">
        <v>39.693318102518191</v>
      </c>
      <c r="N14" s="62">
        <v>30</v>
      </c>
      <c r="O14" s="62">
        <v>0.17817020126095182</v>
      </c>
      <c r="Q14" s="7">
        <v>1.3168663569941315</v>
      </c>
      <c r="R14" s="7">
        <v>0.9952806315609487</v>
      </c>
    </row>
    <row r="15" spans="2:18" ht="15.75" customHeight="1">
      <c r="L15" s="6">
        <v>10</v>
      </c>
      <c r="M15" s="62">
        <v>41.394460306911832</v>
      </c>
      <c r="N15" s="62">
        <f t="shared" si="0"/>
        <v>30</v>
      </c>
      <c r="O15" s="62">
        <v>0.12871519952462546</v>
      </c>
      <c r="Q15" s="7">
        <v>0.94061882642437966</v>
      </c>
      <c r="R15" s="7">
        <v>0.68169906271297853</v>
      </c>
    </row>
    <row r="16" spans="2:18" ht="15.75" customHeight="1">
      <c r="L16" s="6">
        <v>11</v>
      </c>
      <c r="M16" s="62">
        <v>43.168508605779486</v>
      </c>
      <c r="N16" s="62">
        <f t="shared" si="0"/>
        <v>30</v>
      </c>
      <c r="O16" s="62">
        <v>9.2975692555101783E-2</v>
      </c>
      <c r="Q16" s="7">
        <v>0.67187059030312846</v>
      </c>
      <c r="R16" s="7">
        <v>0.46691716624176621</v>
      </c>
    </row>
    <row r="17" spans="12:18" ht="15.75" customHeight="1">
      <c r="L17" s="6">
        <v>12</v>
      </c>
      <c r="M17" s="62">
        <v>45.018587546027163</v>
      </c>
      <c r="N17" s="62">
        <f t="shared" si="0"/>
        <v>30</v>
      </c>
      <c r="O17" s="62">
        <v>6.7151397770234419E-2</v>
      </c>
      <c r="Q17" s="7">
        <v>0.47990756450223454</v>
      </c>
      <c r="R17" s="7">
        <v>0.31980627824778513</v>
      </c>
    </row>
    <row r="18" spans="12:18" ht="15.75" customHeight="1">
      <c r="L18" s="6">
        <v>13</v>
      </c>
      <c r="M18" s="62">
        <v>46.947955583714048</v>
      </c>
      <c r="N18" s="62">
        <f t="shared" si="0"/>
        <v>30</v>
      </c>
      <c r="O18" s="62">
        <v>4.8493990408956453E-2</v>
      </c>
      <c r="Q18" s="7">
        <v>0.34279111750159613</v>
      </c>
      <c r="R18" s="7">
        <v>0.2190453960601268</v>
      </c>
    </row>
    <row r="19" spans="12:18" ht="15.75" customHeight="1">
      <c r="L19" s="6">
        <v>14</v>
      </c>
      <c r="M19" s="62">
        <v>48.960010823016063</v>
      </c>
      <c r="N19" s="62">
        <f t="shared" si="0"/>
        <v>30</v>
      </c>
      <c r="O19" s="62">
        <v>3.5016211925940621E-2</v>
      </c>
      <c r="Q19" s="7">
        <v>0.2448507982154258</v>
      </c>
      <c r="R19" s="7">
        <v>0.15003109319186769</v>
      </c>
    </row>
    <row r="20" spans="12:18" ht="15.75" customHeight="1">
      <c r="L20" s="6">
        <v>15</v>
      </c>
      <c r="M20" s="62">
        <v>51.058297001145334</v>
      </c>
      <c r="N20" s="62">
        <f t="shared" si="0"/>
        <v>30</v>
      </c>
      <c r="O20" s="62">
        <v>2.5281328052896585E-2</v>
      </c>
      <c r="Q20" s="7">
        <v>0.17489342729673274</v>
      </c>
      <c r="R20" s="7">
        <v>0.10276102273415595</v>
      </c>
    </row>
    <row r="21" spans="12:18" ht="15.75" customHeight="1">
      <c r="L21" s="6">
        <v>16</v>
      </c>
      <c r="M21" s="62">
        <v>53.246509729765847</v>
      </c>
      <c r="N21" s="62">
        <f t="shared" si="0"/>
        <v>30</v>
      </c>
      <c r="O21" s="62">
        <v>1.8250768684780518E-2</v>
      </c>
      <c r="Q21" s="7">
        <v>0.12492387664052339</v>
      </c>
      <c r="R21" s="7">
        <v>7.0384262146682169E-2</v>
      </c>
    </row>
    <row r="22" spans="12:18" ht="15.75" customHeight="1">
      <c r="L22" s="6">
        <v>17</v>
      </c>
      <c r="M22" s="62">
        <v>55.528503003898663</v>
      </c>
      <c r="N22" s="62">
        <f t="shared" si="0"/>
        <v>30</v>
      </c>
      <c r="O22" s="62">
        <v>1.3173889930861661E-2</v>
      </c>
      <c r="Q22" s="7">
        <v>8.9231340457516697E-2</v>
      </c>
      <c r="R22" s="7">
        <v>4.8208398730604222E-2</v>
      </c>
    </row>
    <row r="23" spans="12:18" ht="15.75" customHeight="1">
      <c r="L23" s="6">
        <v>18</v>
      </c>
      <c r="M23" s="62">
        <v>57.908295989780036</v>
      </c>
      <c r="N23" s="62">
        <f t="shared" si="0"/>
        <v>30</v>
      </c>
      <c r="O23" s="62">
        <v>9.5082260824653781E-3</v>
      </c>
      <c r="Q23" s="7">
        <v>6.3736671755369081E-2</v>
      </c>
      <c r="R23" s="7">
        <v>3.3019451185345362E-2</v>
      </c>
    </row>
    <row r="24" spans="12:18" ht="15.75" customHeight="1">
      <c r="L24" s="6">
        <v>19</v>
      </c>
      <c r="M24" s="62">
        <v>60.390080103627746</v>
      </c>
      <c r="N24" s="62">
        <f t="shared" si="0"/>
        <v>30</v>
      </c>
      <c r="O24" s="62">
        <v>6.8618077041027519E-3</v>
      </c>
      <c r="Q24" s="7">
        <v>4.5526194110977913E-2</v>
      </c>
      <c r="R24" s="7">
        <v>2.2616062455716002E-2</v>
      </c>
    </row>
    <row r="25" spans="12:18" ht="15.75" customHeight="1">
      <c r="L25" s="6">
        <v>20</v>
      </c>
      <c r="M25" s="62">
        <v>62.97822639378321</v>
      </c>
      <c r="N25" s="62">
        <f t="shared" si="0"/>
        <v>30</v>
      </c>
      <c r="O25" s="62">
        <v>4.9514466780726171E-3</v>
      </c>
      <c r="Q25" s="7">
        <v>3.2518710079269937E-2</v>
      </c>
      <c r="R25" s="7">
        <v>1.5490453736791785E-2</v>
      </c>
    </row>
    <row r="26" spans="12:18" ht="15.75" customHeight="1">
      <c r="L26" s="6">
        <v>21</v>
      </c>
      <c r="M26" s="62">
        <v>65.677293239231062</v>
      </c>
      <c r="N26" s="62">
        <f t="shared" si="0"/>
        <v>30</v>
      </c>
      <c r="O26" s="62">
        <v>3.5725729563778437E-3</v>
      </c>
      <c r="Q26" s="7">
        <v>2.3227650056621387E-2</v>
      </c>
      <c r="R26" s="7">
        <v>1.0609899819720402E-2</v>
      </c>
    </row>
    <row r="27" spans="12:18" ht="15.75" customHeight="1">
      <c r="L27" s="6">
        <v>22</v>
      </c>
      <c r="M27" s="62">
        <v>68.492034378055237</v>
      </c>
      <c r="N27" s="62">
        <f t="shared" si="0"/>
        <v>30</v>
      </c>
      <c r="O27" s="62">
        <v>2.5774273468292582E-3</v>
      </c>
      <c r="Q27" s="7">
        <v>1.6591178611872419E-2</v>
      </c>
      <c r="R27" s="7">
        <v>7.267054671041372E-3</v>
      </c>
    </row>
    <row r="28" spans="12:18" ht="15.75" customHeight="1">
      <c r="L28" s="6">
        <v>23</v>
      </c>
      <c r="M28" s="62">
        <v>71.427407279971902</v>
      </c>
      <c r="N28" s="62">
        <f t="shared" si="0"/>
        <v>30</v>
      </c>
      <c r="O28" s="62">
        <v>1.8592977626245301E-3</v>
      </c>
      <c r="Q28" s="7">
        <v>1.1850841865623157E-2</v>
      </c>
      <c r="R28" s="7">
        <v>4.97743470619272E-3</v>
      </c>
    </row>
    <row r="29" spans="12:18" ht="15.75" customHeight="1">
      <c r="L29" s="6">
        <v>24</v>
      </c>
      <c r="M29" s="62">
        <v>74.488581877684979</v>
      </c>
      <c r="N29" s="62">
        <f t="shared" si="0"/>
        <v>30</v>
      </c>
      <c r="O29" s="62">
        <v>1.341125708428279E-3</v>
      </c>
      <c r="Q29" s="7">
        <v>8.4648870468736828E-3</v>
      </c>
      <c r="R29" s="7">
        <v>3.4092018535566578E-3</v>
      </c>
    </row>
    <row r="30" spans="12:18" ht="15.75" customHeight="1">
      <c r="L30" s="6">
        <v>25</v>
      </c>
      <c r="M30" s="62">
        <v>77.680949672442893</v>
      </c>
      <c r="N30" s="62">
        <f t="shared" si="0"/>
        <v>30</v>
      </c>
      <c r="O30" s="62">
        <v>9.6727256172176039E-4</v>
      </c>
      <c r="Q30" s="7">
        <v>6.0463478906240594E-3</v>
      </c>
      <c r="R30" s="7">
        <v>2.33506976271004E-3</v>
      </c>
    </row>
    <row r="31" spans="12:18" ht="15.75" customHeight="1">
      <c r="L31" s="5"/>
      <c r="M31" s="5"/>
      <c r="N31" s="5"/>
      <c r="O31" s="5"/>
      <c r="Q31" s="5"/>
      <c r="R31" s="5"/>
    </row>
    <row r="32" spans="12:18" ht="30" customHeight="1">
      <c r="M32" s="26" t="s">
        <v>46</v>
      </c>
      <c r="N32" s="69">
        <f t="array" ref="N32">SUM(beta^t*LN(C_t))*1000</f>
        <v>11926.954713040601</v>
      </c>
      <c r="P32" s="15"/>
      <c r="Q32" s="16">
        <f>SUM(Q5:Q30)</f>
        <v>95.212315065733307</v>
      </c>
      <c r="R32" s="16">
        <f>SUM(R5:R30)</f>
        <v>95.212315065733279</v>
      </c>
    </row>
    <row r="33" spans="13:15" ht="15.75" customHeight="1">
      <c r="M33" s="26"/>
      <c r="N33" s="25"/>
    </row>
    <row r="34" spans="13:15" s="20" customFormat="1" ht="30" customHeight="1">
      <c r="M34" s="30" t="s">
        <v>45</v>
      </c>
      <c r="N34" s="61">
        <f t="array" ref="N34">SUM(C_t/((1+rho)^t))</f>
        <v>95.212315065733307</v>
      </c>
    </row>
    <row r="35" spans="13:15" ht="15.75" customHeight="1">
      <c r="M35" s="26"/>
      <c r="N35" s="24" t="s">
        <v>19</v>
      </c>
      <c r="O35" s="45">
        <f>N34-N36</f>
        <v>95.212315065733307</v>
      </c>
    </row>
    <row r="36" spans="13:15" s="20" customFormat="1" ht="30" customHeight="1">
      <c r="M36" s="31" t="s">
        <v>18</v>
      </c>
      <c r="N36" s="61"/>
    </row>
    <row r="37" spans="13:15" ht="15.75" customHeight="1">
      <c r="M37" s="21"/>
      <c r="N37" s="23"/>
    </row>
  </sheetData>
  <mergeCells count="6">
    <mergeCell ref="C5:C6"/>
    <mergeCell ref="D5:D6"/>
    <mergeCell ref="C9:C10"/>
    <mergeCell ref="D9:D10"/>
    <mergeCell ref="C13:C14"/>
    <mergeCell ref="D13:D14"/>
  </mergeCell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</xdr:col>
                    <xdr:colOff>161925</xdr:colOff>
                    <xdr:row>8</xdr:row>
                    <xdr:rowOff>47625</xdr:rowOff>
                  </from>
                  <to>
                    <xdr:col>1</xdr:col>
                    <xdr:colOff>409575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1</xdr:col>
                    <xdr:colOff>161925</xdr:colOff>
                    <xdr:row>12</xdr:row>
                    <xdr:rowOff>47625</xdr:rowOff>
                  </from>
                  <to>
                    <xdr:col>1</xdr:col>
                    <xdr:colOff>409575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R37"/>
  <sheetViews>
    <sheetView showGridLines="0" zoomScale="85" zoomScaleNormal="85" workbookViewId="0">
      <selection activeCell="N1" sqref="N1:N1048576"/>
    </sheetView>
  </sheetViews>
  <sheetFormatPr baseColWidth="10" defaultRowHeight="15.75" customHeight="1"/>
  <cols>
    <col min="1" max="1" width="4" style="1" customWidth="1"/>
    <col min="2" max="2" width="6.5703125" style="1" customWidth="1"/>
    <col min="3" max="3" width="8.140625" style="1" customWidth="1"/>
    <col min="4" max="4" width="8.28515625" style="1" customWidth="1"/>
    <col min="5" max="5" width="4" style="1" customWidth="1"/>
    <col min="6" max="10" width="8.28515625" style="1" customWidth="1"/>
    <col min="11" max="11" width="4" style="1" customWidth="1"/>
    <col min="12" max="12" width="11.42578125" style="1"/>
    <col min="13" max="15" width="11.7109375" style="1" customWidth="1"/>
    <col min="16" max="16" width="4" style="1" customWidth="1"/>
    <col min="17" max="18" width="15.140625" style="1" customWidth="1"/>
    <col min="19" max="19" width="4.140625" style="1" customWidth="1"/>
    <col min="20" max="16384" width="11.42578125" style="1"/>
  </cols>
  <sheetData>
    <row r="2" spans="2:18" ht="27.75" customHeight="1" thickBot="1">
      <c r="B2" s="27" t="s">
        <v>22</v>
      </c>
      <c r="C2" s="27"/>
      <c r="D2" s="27"/>
      <c r="E2" s="28"/>
      <c r="F2" s="27" t="s">
        <v>23</v>
      </c>
      <c r="G2" s="27"/>
      <c r="H2" s="27"/>
      <c r="I2" s="27"/>
      <c r="J2" s="27"/>
      <c r="K2" s="28"/>
      <c r="L2" s="27" t="s">
        <v>24</v>
      </c>
      <c r="M2" s="29"/>
      <c r="N2" s="29"/>
      <c r="O2" s="29"/>
      <c r="P2" s="29"/>
      <c r="Q2" s="29"/>
      <c r="R2" s="29"/>
    </row>
    <row r="3" spans="2:18" ht="15.75" customHeight="1">
      <c r="L3" s="3" t="s">
        <v>0</v>
      </c>
      <c r="M3" s="3" t="s">
        <v>1</v>
      </c>
      <c r="N3" s="3" t="s">
        <v>2</v>
      </c>
      <c r="O3" s="3" t="s">
        <v>10</v>
      </c>
      <c r="Q3" s="17" t="s">
        <v>11</v>
      </c>
      <c r="R3" s="17"/>
    </row>
    <row r="4" spans="2:18" ht="30">
      <c r="B4" s="4" t="s">
        <v>8</v>
      </c>
      <c r="C4" s="4"/>
      <c r="D4" s="8"/>
      <c r="L4" s="12" t="s">
        <v>3</v>
      </c>
      <c r="M4" s="12" t="s">
        <v>12</v>
      </c>
      <c r="N4" s="12" t="s">
        <v>13</v>
      </c>
      <c r="O4" s="12" t="s">
        <v>14</v>
      </c>
      <c r="P4" s="13"/>
      <c r="Q4" s="18" t="s">
        <v>16</v>
      </c>
      <c r="R4" s="18" t="s">
        <v>15</v>
      </c>
    </row>
    <row r="5" spans="2:18" ht="15.75" customHeight="1">
      <c r="B5" s="9"/>
      <c r="C5" s="116" t="s">
        <v>9</v>
      </c>
      <c r="D5" s="118">
        <f>1/(1+delta)</f>
        <v>0.7142857142857143</v>
      </c>
      <c r="L5" s="5">
        <v>0</v>
      </c>
      <c r="M5" s="62">
        <f t="array" ref="M5:M30">(beta^t)*((1+rho)^t)*SUM((Y_t/(1+rho)^t))/SUM(beta^t)</f>
        <v>26.811569755797724</v>
      </c>
      <c r="N5" s="62">
        <v>30</v>
      </c>
      <c r="O5" s="62">
        <f t="shared" ref="O5:O30" si="0">(beta^t)*LN(C_t)</f>
        <v>3.2888335016639076</v>
      </c>
      <c r="Q5" s="7">
        <f t="shared" ref="Q5:Q30" si="1">C_t/((1+rho)^t)</f>
        <v>26.811569755797724</v>
      </c>
      <c r="R5" s="7">
        <f t="shared" ref="R5:R30" si="2">Y_t/((1+rho)^t)</f>
        <v>30</v>
      </c>
    </row>
    <row r="6" spans="2:18" ht="15.75" customHeight="1">
      <c r="B6" s="77"/>
      <c r="C6" s="117"/>
      <c r="D6" s="119"/>
      <c r="L6" s="76">
        <v>1</v>
      </c>
      <c r="M6" s="62">
        <v>28.152148243587611</v>
      </c>
      <c r="N6" s="62">
        <f t="shared" ref="N6:N30" si="3">Y_0</f>
        <v>30</v>
      </c>
      <c r="O6" s="62">
        <f t="shared" si="0"/>
        <v>2.3840169041666712</v>
      </c>
      <c r="Q6" s="7">
        <f t="shared" si="1"/>
        <v>19.151121254141231</v>
      </c>
      <c r="R6" s="7">
        <f t="shared" si="2"/>
        <v>20.408163265306122</v>
      </c>
    </row>
    <row r="7" spans="2:18" ht="15.75" customHeight="1">
      <c r="C7" s="11"/>
      <c r="L7" s="76">
        <v>2</v>
      </c>
      <c r="M7" s="62">
        <v>29.559755655766995</v>
      </c>
      <c r="N7" s="62">
        <f t="shared" si="3"/>
        <v>30</v>
      </c>
      <c r="O7" s="62">
        <f t="shared" si="0"/>
        <v>1.7277621581646796</v>
      </c>
      <c r="Q7" s="7">
        <f t="shared" si="1"/>
        <v>13.679372324386597</v>
      </c>
      <c r="R7" s="7">
        <f t="shared" si="2"/>
        <v>13.88310426211301</v>
      </c>
    </row>
    <row r="8" spans="2:18" ht="15.75" customHeight="1">
      <c r="B8" s="4" t="s">
        <v>4</v>
      </c>
      <c r="C8" s="14"/>
      <c r="D8" s="8"/>
      <c r="L8" s="76">
        <v>3</v>
      </c>
      <c r="M8" s="62">
        <v>31.037743438555339</v>
      </c>
      <c r="N8" s="62">
        <f t="shared" si="3"/>
        <v>30</v>
      </c>
      <c r="O8" s="62">
        <f t="shared" si="0"/>
        <v>1.2518964993338937</v>
      </c>
      <c r="Q8" s="7">
        <f t="shared" si="1"/>
        <v>9.7709802317047103</v>
      </c>
      <c r="R8" s="7">
        <f t="shared" si="2"/>
        <v>9.4442886136823194</v>
      </c>
    </row>
    <row r="9" spans="2:18" ht="15.75" customHeight="1">
      <c r="B9" s="63">
        <v>40</v>
      </c>
      <c r="C9" s="116" t="s">
        <v>5</v>
      </c>
      <c r="D9" s="118">
        <f>B9/100</f>
        <v>0.4</v>
      </c>
      <c r="L9" s="76">
        <v>4</v>
      </c>
      <c r="M9" s="62">
        <v>32.589630610483098</v>
      </c>
      <c r="N9" s="62">
        <f t="shared" si="3"/>
        <v>30</v>
      </c>
      <c r="O9" s="62">
        <f t="shared" si="0"/>
        <v>0.90691226529092972</v>
      </c>
      <c r="Q9" s="7">
        <f t="shared" si="1"/>
        <v>6.9792715940747927</v>
      </c>
      <c r="R9" s="7">
        <f t="shared" si="2"/>
        <v>6.4246861317566806</v>
      </c>
    </row>
    <row r="10" spans="2:18" ht="15.75" customHeight="1">
      <c r="B10" s="77"/>
      <c r="C10" s="117"/>
      <c r="D10" s="119"/>
      <c r="L10" s="76">
        <v>5</v>
      </c>
      <c r="M10" s="62">
        <v>34.219112141007258</v>
      </c>
      <c r="N10" s="62">
        <f t="shared" si="3"/>
        <v>30</v>
      </c>
      <c r="O10" s="62">
        <f t="shared" si="0"/>
        <v>0.65686624667383153</v>
      </c>
      <c r="Q10" s="7">
        <f t="shared" si="1"/>
        <v>4.9851939957677098</v>
      </c>
      <c r="R10" s="7">
        <f t="shared" si="2"/>
        <v>4.3705347835079458</v>
      </c>
    </row>
    <row r="11" spans="2:18" ht="15.75" customHeight="1">
      <c r="C11" s="11"/>
      <c r="L11" s="76">
        <v>6</v>
      </c>
      <c r="M11" s="62">
        <v>35.93006774805761</v>
      </c>
      <c r="N11" s="62">
        <f t="shared" si="3"/>
        <v>30</v>
      </c>
      <c r="O11" s="62">
        <f t="shared" si="0"/>
        <v>0.47567001295704003</v>
      </c>
      <c r="Q11" s="7">
        <f t="shared" si="1"/>
        <v>3.5608528541197919</v>
      </c>
      <c r="R11" s="7">
        <f t="shared" si="2"/>
        <v>2.973152913950984</v>
      </c>
    </row>
    <row r="12" spans="2:18" ht="15.75" customHeight="1">
      <c r="B12" s="4" t="s">
        <v>6</v>
      </c>
      <c r="C12" s="14"/>
      <c r="D12" s="8"/>
      <c r="L12" s="76">
        <v>7</v>
      </c>
      <c r="M12" s="62">
        <v>37.726571135460503</v>
      </c>
      <c r="N12" s="62">
        <f t="shared" si="3"/>
        <v>30</v>
      </c>
      <c r="O12" s="62">
        <f t="shared" si="0"/>
        <v>0.34439274979891882</v>
      </c>
      <c r="Q12" s="7">
        <f t="shared" si="1"/>
        <v>2.543466324371281</v>
      </c>
      <c r="R12" s="7">
        <f t="shared" si="2"/>
        <v>2.0225530026877441</v>
      </c>
    </row>
    <row r="13" spans="2:18" ht="15.75" customHeight="1">
      <c r="B13" s="63">
        <v>47</v>
      </c>
      <c r="C13" s="116" t="s">
        <v>7</v>
      </c>
      <c r="D13" s="120">
        <f>+B13/100</f>
        <v>0.47</v>
      </c>
      <c r="L13" s="76">
        <v>8</v>
      </c>
      <c r="M13" s="62">
        <v>39.612899692233526</v>
      </c>
      <c r="N13" s="62">
        <f t="shared" si="3"/>
        <v>30</v>
      </c>
      <c r="O13" s="62">
        <f t="shared" si="0"/>
        <v>0.24930086044894512</v>
      </c>
      <c r="Q13" s="7">
        <f t="shared" si="1"/>
        <v>1.8167616602652006</v>
      </c>
      <c r="R13" s="7">
        <f t="shared" si="2"/>
        <v>1.3758863963862207</v>
      </c>
    </row>
    <row r="14" spans="2:18" ht="15.75" customHeight="1">
      <c r="B14" s="77"/>
      <c r="C14" s="117"/>
      <c r="D14" s="121"/>
      <c r="L14" s="76">
        <v>9</v>
      </c>
      <c r="M14" s="62">
        <v>41.593544676845205</v>
      </c>
      <c r="N14" s="62">
        <v>30</v>
      </c>
      <c r="O14" s="62">
        <f t="shared" si="0"/>
        <v>0.18043349972353445</v>
      </c>
      <c r="Q14" s="7">
        <f t="shared" si="1"/>
        <v>1.2976869001894291</v>
      </c>
      <c r="R14" s="7">
        <f t="shared" si="2"/>
        <v>0.93597714039878965</v>
      </c>
    </row>
    <row r="15" spans="2:18" ht="15.75" customHeight="1">
      <c r="L15" s="76">
        <v>10</v>
      </c>
      <c r="M15" s="62">
        <v>43.67322191068746</v>
      </c>
      <c r="N15" s="62">
        <f t="shared" si="3"/>
        <v>30</v>
      </c>
      <c r="O15" s="62">
        <f t="shared" si="0"/>
        <v>0.13056782590660784</v>
      </c>
      <c r="Q15" s="7">
        <f t="shared" si="1"/>
        <v>0.92691921442102077</v>
      </c>
      <c r="R15" s="7">
        <f t="shared" si="2"/>
        <v>0.63671914312842837</v>
      </c>
    </row>
    <row r="16" spans="2:18" ht="15.75" customHeight="1">
      <c r="L16" s="76">
        <v>11</v>
      </c>
      <c r="M16" s="62">
        <v>45.856883006221828</v>
      </c>
      <c r="N16" s="62">
        <f t="shared" si="3"/>
        <v>30</v>
      </c>
      <c r="O16" s="62">
        <f t="shared" si="0"/>
        <v>9.4467557558656892E-2</v>
      </c>
      <c r="Q16" s="7">
        <f t="shared" si="1"/>
        <v>0.66208515315787198</v>
      </c>
      <c r="R16" s="7">
        <f t="shared" si="2"/>
        <v>0.43314227423702611</v>
      </c>
    </row>
    <row r="17" spans="12:18" ht="15.75" customHeight="1">
      <c r="L17" s="76">
        <v>12</v>
      </c>
      <c r="M17" s="62">
        <v>48.149727156532919</v>
      </c>
      <c r="N17" s="62">
        <f t="shared" si="3"/>
        <v>30</v>
      </c>
      <c r="O17" s="62">
        <f t="shared" si="0"/>
        <v>6.8337415947771138E-2</v>
      </c>
      <c r="Q17" s="7">
        <f t="shared" si="1"/>
        <v>0.47291796654133711</v>
      </c>
      <c r="R17" s="7">
        <f t="shared" si="2"/>
        <v>0.29465460832450757</v>
      </c>
    </row>
    <row r="18" spans="12:18" ht="15.75" customHeight="1">
      <c r="L18" s="76">
        <v>13</v>
      </c>
      <c r="M18" s="62">
        <v>50.557213514359567</v>
      </c>
      <c r="N18" s="62">
        <f t="shared" si="3"/>
        <v>30</v>
      </c>
      <c r="O18" s="62">
        <f t="shared" si="0"/>
        <v>4.9427146477093016E-2</v>
      </c>
      <c r="Q18" s="7">
        <f t="shared" si="1"/>
        <v>0.33779854752952648</v>
      </c>
      <c r="R18" s="7">
        <f t="shared" si="2"/>
        <v>0.20044531178537928</v>
      </c>
    </row>
    <row r="19" spans="12:18" ht="15.75" customHeight="1">
      <c r="L19" s="76">
        <v>14</v>
      </c>
      <c r="M19" s="62">
        <v>53.085074190077535</v>
      </c>
      <c r="N19" s="62">
        <f t="shared" si="3"/>
        <v>30</v>
      </c>
      <c r="O19" s="62">
        <f t="shared" si="0"/>
        <v>3.5744180708208825E-2</v>
      </c>
      <c r="Q19" s="7">
        <f t="shared" si="1"/>
        <v>0.24128467680680463</v>
      </c>
      <c r="R19" s="7">
        <f t="shared" si="2"/>
        <v>0.13635735495604034</v>
      </c>
    </row>
    <row r="20" spans="12:18" ht="15.75" customHeight="1">
      <c r="L20" s="76">
        <v>15</v>
      </c>
      <c r="M20" s="62">
        <v>55.739327899581419</v>
      </c>
      <c r="N20" s="62">
        <f t="shared" si="3"/>
        <v>30</v>
      </c>
      <c r="O20" s="62">
        <f t="shared" si="0"/>
        <v>2.5845183421373322E-2</v>
      </c>
      <c r="Q20" s="7">
        <f t="shared" si="1"/>
        <v>0.17234619771914619</v>
      </c>
      <c r="R20" s="7">
        <f t="shared" si="2"/>
        <v>9.2760105412272351E-2</v>
      </c>
    </row>
    <row r="21" spans="12:18" ht="15.75" customHeight="1">
      <c r="L21" s="76">
        <v>16</v>
      </c>
      <c r="M21" s="62">
        <v>58.5262942945605</v>
      </c>
      <c r="N21" s="62">
        <f t="shared" si="3"/>
        <v>30</v>
      </c>
      <c r="O21" s="62">
        <f t="shared" si="0"/>
        <v>1.8684863710018609E-2</v>
      </c>
      <c r="Q21" s="7">
        <f t="shared" si="1"/>
        <v>0.12310442694224731</v>
      </c>
      <c r="R21" s="7">
        <f t="shared" si="2"/>
        <v>6.3102112525355344E-2</v>
      </c>
    </row>
    <row r="22" spans="12:18" ht="15.75" customHeight="1">
      <c r="L22" s="76">
        <v>17</v>
      </c>
      <c r="M22" s="62">
        <v>61.452609009288523</v>
      </c>
      <c r="N22" s="62">
        <f t="shared" si="3"/>
        <v>30</v>
      </c>
      <c r="O22" s="62">
        <f t="shared" si="0"/>
        <v>1.3506344370754476E-2</v>
      </c>
      <c r="Q22" s="7">
        <f t="shared" si="1"/>
        <v>8.7931733530176651E-2</v>
      </c>
      <c r="R22" s="7">
        <f t="shared" si="2"/>
        <v>4.2926607160105677E-2</v>
      </c>
    </row>
    <row r="23" spans="12:18" ht="15.75" customHeight="1">
      <c r="L23" s="76">
        <v>18</v>
      </c>
      <c r="M23" s="62">
        <v>64.525239459752939</v>
      </c>
      <c r="N23" s="62">
        <f t="shared" si="3"/>
        <v>30</v>
      </c>
      <c r="O23" s="62">
        <f t="shared" si="0"/>
        <v>9.7616839429050667E-3</v>
      </c>
      <c r="Q23" s="7">
        <f t="shared" si="1"/>
        <v>6.2808381092983312E-2</v>
      </c>
      <c r="R23" s="7">
        <f t="shared" si="2"/>
        <v>2.9201773578303183E-2</v>
      </c>
    </row>
    <row r="24" spans="12:18" ht="15.75" customHeight="1">
      <c r="L24" s="76">
        <v>19</v>
      </c>
      <c r="M24" s="62">
        <v>67.751501432740582</v>
      </c>
      <c r="N24" s="62">
        <f t="shared" si="3"/>
        <v>30</v>
      </c>
      <c r="O24" s="62">
        <f t="shared" si="0"/>
        <v>7.054270749683525E-3</v>
      </c>
      <c r="Q24" s="7">
        <f t="shared" si="1"/>
        <v>4.4863129352130937E-2</v>
      </c>
      <c r="R24" s="7">
        <f t="shared" si="2"/>
        <v>1.98651520940838E-2</v>
      </c>
    </row>
    <row r="25" spans="12:18" ht="15.75" customHeight="1">
      <c r="L25" s="76">
        <v>20</v>
      </c>
      <c r="M25" s="62">
        <v>71.139076504377613</v>
      </c>
      <c r="N25" s="62">
        <f t="shared" si="3"/>
        <v>30</v>
      </c>
      <c r="O25" s="62">
        <f t="shared" si="0"/>
        <v>5.0970786511269411E-3</v>
      </c>
      <c r="Q25" s="7">
        <f t="shared" si="1"/>
        <v>3.2045092394379249E-2</v>
      </c>
      <c r="R25" s="7">
        <f t="shared" si="2"/>
        <v>1.3513708907540002E-2</v>
      </c>
    </row>
    <row r="26" spans="12:18" ht="15.75" customHeight="1">
      <c r="L26" s="76">
        <v>21</v>
      </c>
      <c r="M26" s="62">
        <v>74.696030329596496</v>
      </c>
      <c r="N26" s="62">
        <f t="shared" si="3"/>
        <v>30</v>
      </c>
      <c r="O26" s="62">
        <f t="shared" si="0"/>
        <v>3.6824232007509738E-3</v>
      </c>
      <c r="Q26" s="7">
        <f t="shared" si="1"/>
        <v>2.2889351710270889E-2</v>
      </c>
      <c r="R26" s="7">
        <f t="shared" si="2"/>
        <v>9.1929992568299326E-3</v>
      </c>
    </row>
    <row r="27" spans="12:18" ht="15.75" customHeight="1">
      <c r="L27" s="76">
        <v>22</v>
      </c>
      <c r="M27" s="62">
        <v>78.430831846076302</v>
      </c>
      <c r="N27" s="62">
        <f t="shared" si="3"/>
        <v>30</v>
      </c>
      <c r="O27" s="62">
        <f t="shared" si="0"/>
        <v>2.6600542402937678E-3</v>
      </c>
      <c r="Q27" s="7">
        <f t="shared" si="1"/>
        <v>1.6349536935907776E-2</v>
      </c>
      <c r="R27" s="7">
        <f t="shared" si="2"/>
        <v>6.253740991040771E-3</v>
      </c>
    </row>
    <row r="28" spans="12:18" ht="15.75" customHeight="1">
      <c r="L28" s="76">
        <v>23</v>
      </c>
      <c r="M28" s="62">
        <v>82.352373438380141</v>
      </c>
      <c r="N28" s="62">
        <f t="shared" si="3"/>
        <v>30</v>
      </c>
      <c r="O28" s="62">
        <f t="shared" si="0"/>
        <v>1.9212901388120293E-3</v>
      </c>
      <c r="Q28" s="7">
        <f t="shared" si="1"/>
        <v>1.1678240668505558E-2</v>
      </c>
      <c r="R28" s="7">
        <f t="shared" si="2"/>
        <v>4.2542455721365788E-3</v>
      </c>
    </row>
    <row r="29" spans="12:18" ht="15.75" customHeight="1">
      <c r="L29" s="76">
        <v>24</v>
      </c>
      <c r="M29" s="62">
        <v>86.469992110299145</v>
      </c>
      <c r="N29" s="62">
        <f t="shared" si="3"/>
        <v>30</v>
      </c>
      <c r="O29" s="62">
        <f t="shared" si="0"/>
        <v>1.3875296675407724E-3</v>
      </c>
      <c r="Q29" s="7">
        <f t="shared" si="1"/>
        <v>8.3416004775039698E-3</v>
      </c>
      <c r="R29" s="7">
        <f t="shared" si="2"/>
        <v>2.894044606895632E-3</v>
      </c>
    </row>
    <row r="30" spans="12:18" ht="15.75" customHeight="1">
      <c r="L30" s="76">
        <v>25</v>
      </c>
      <c r="M30" s="62">
        <v>90.793491715814085</v>
      </c>
      <c r="N30" s="62">
        <f t="shared" si="3"/>
        <v>30</v>
      </c>
      <c r="O30" s="62">
        <f t="shared" si="0"/>
        <v>1.0019351685214967E-3</v>
      </c>
      <c r="Q30" s="7">
        <f t="shared" si="1"/>
        <v>5.9582860553599772E-3</v>
      </c>
      <c r="R30" s="7">
        <f t="shared" si="2"/>
        <v>1.9687378278201578E-3</v>
      </c>
    </row>
    <row r="31" spans="12:18" ht="15.75" customHeight="1">
      <c r="L31" s="5"/>
      <c r="M31" s="5"/>
      <c r="N31" s="5"/>
      <c r="O31" s="5"/>
      <c r="Q31" s="5"/>
      <c r="R31" s="5"/>
    </row>
    <row r="32" spans="12:18" ht="30" customHeight="1">
      <c r="M32" s="26" t="s">
        <v>46</v>
      </c>
      <c r="N32" s="69">
        <f t="array" ref="N32">SUM(beta^t*LN(C_t))*1000</f>
        <v>11935.231482082472</v>
      </c>
      <c r="P32" s="15"/>
      <c r="Q32" s="16">
        <f>SUM(Q5:Q30)</f>
        <v>93.825598430153647</v>
      </c>
      <c r="R32" s="16">
        <f>SUM(R5:R30)</f>
        <v>93.825598430153605</v>
      </c>
    </row>
    <row r="33" spans="13:15" ht="15.75" customHeight="1">
      <c r="M33" s="26"/>
      <c r="N33" s="25"/>
    </row>
    <row r="34" spans="13:15" s="20" customFormat="1" ht="30" customHeight="1">
      <c r="M34" s="30" t="s">
        <v>45</v>
      </c>
      <c r="N34" s="61">
        <f t="array" ref="N34">SUM(C_t/((1+rho)^t))</f>
        <v>93.825598430153647</v>
      </c>
    </row>
    <row r="35" spans="13:15" ht="15.75" customHeight="1">
      <c r="M35" s="26"/>
      <c r="N35" s="24" t="s">
        <v>19</v>
      </c>
      <c r="O35" s="45">
        <f>N34-N36</f>
        <v>0</v>
      </c>
    </row>
    <row r="36" spans="13:15" s="20" customFormat="1" ht="30" customHeight="1">
      <c r="M36" s="31" t="s">
        <v>18</v>
      </c>
      <c r="N36" s="61">
        <f t="array" ref="N36">SUM(Y_t/((1+rho)^t))</f>
        <v>93.825598430153605</v>
      </c>
    </row>
    <row r="37" spans="13:15" ht="15.75" customHeight="1">
      <c r="M37" s="21"/>
      <c r="N37" s="23"/>
    </row>
  </sheetData>
  <mergeCells count="6">
    <mergeCell ref="C5:C6"/>
    <mergeCell ref="D5:D6"/>
    <mergeCell ref="C9:C10"/>
    <mergeCell ref="D9:D10"/>
    <mergeCell ref="C13:C14"/>
    <mergeCell ref="D13:D14"/>
  </mergeCell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Spinner 1">
              <controlPr defaultSize="0" autoPict="0">
                <anchor moveWithCells="1" sizeWithCells="1">
                  <from>
                    <xdr:col>1</xdr:col>
                    <xdr:colOff>161925</xdr:colOff>
                    <xdr:row>8</xdr:row>
                    <xdr:rowOff>47625</xdr:rowOff>
                  </from>
                  <to>
                    <xdr:col>1</xdr:col>
                    <xdr:colOff>409575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pinner 2">
              <controlPr defaultSize="0" autoPict="0">
                <anchor moveWithCells="1" sizeWithCells="1">
                  <from>
                    <xdr:col>1</xdr:col>
                    <xdr:colOff>161925</xdr:colOff>
                    <xdr:row>12</xdr:row>
                    <xdr:rowOff>47625</xdr:rowOff>
                  </from>
                  <to>
                    <xdr:col>1</xdr:col>
                    <xdr:colOff>409575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2:T37"/>
  <sheetViews>
    <sheetView showGridLines="0" topLeftCell="A10" zoomScale="85" zoomScaleNormal="85" workbookViewId="0">
      <selection activeCell="C29" sqref="C29"/>
    </sheetView>
  </sheetViews>
  <sheetFormatPr baseColWidth="10" defaultRowHeight="15.75" customHeight="1"/>
  <cols>
    <col min="1" max="1" width="4" style="1" customWidth="1"/>
    <col min="2" max="2" width="6.5703125" style="1" customWidth="1"/>
    <col min="3" max="3" width="8.140625" style="1" customWidth="1"/>
    <col min="4" max="4" width="8.28515625" style="1" customWidth="1"/>
    <col min="5" max="5" width="4" style="1" customWidth="1"/>
    <col min="6" max="10" width="8.28515625" style="1" customWidth="1"/>
    <col min="11" max="11" width="4" style="1" customWidth="1"/>
    <col min="12" max="12" width="11.42578125" style="1"/>
    <col min="13" max="15" width="11.7109375" style="1" customWidth="1"/>
    <col min="16" max="16" width="4" style="1" customWidth="1"/>
    <col min="17" max="18" width="15.140625" style="1" hidden="1" customWidth="1"/>
    <col min="19" max="19" width="11.42578125" style="1"/>
    <col min="20" max="20" width="13.28515625" style="1" bestFit="1" customWidth="1"/>
    <col min="21" max="16384" width="11.42578125" style="1"/>
  </cols>
  <sheetData>
    <row r="2" spans="2:18" ht="27.75" customHeight="1" thickBot="1">
      <c r="B2" s="27" t="s">
        <v>22</v>
      </c>
      <c r="C2" s="27"/>
      <c r="D2" s="27"/>
      <c r="E2" s="28"/>
      <c r="F2" s="27" t="s">
        <v>23</v>
      </c>
      <c r="G2" s="27"/>
      <c r="H2" s="27"/>
      <c r="I2" s="27"/>
      <c r="J2" s="27"/>
      <c r="K2" s="28"/>
      <c r="L2" s="27" t="s">
        <v>21</v>
      </c>
      <c r="M2" s="29"/>
      <c r="N2" s="29"/>
      <c r="O2" s="29"/>
      <c r="P2" s="29"/>
      <c r="Q2" s="29"/>
      <c r="R2" s="29"/>
    </row>
    <row r="3" spans="2:18" ht="15.75" customHeight="1">
      <c r="L3" s="3" t="s">
        <v>0</v>
      </c>
      <c r="M3" s="3" t="s">
        <v>1</v>
      </c>
      <c r="N3" s="3" t="s">
        <v>2</v>
      </c>
      <c r="O3" s="3" t="s">
        <v>10</v>
      </c>
      <c r="Q3" s="17" t="s">
        <v>11</v>
      </c>
      <c r="R3" s="17"/>
    </row>
    <row r="4" spans="2:18" ht="30">
      <c r="B4" s="4" t="s">
        <v>8</v>
      </c>
      <c r="C4" s="4"/>
      <c r="D4" s="8"/>
      <c r="L4" s="12" t="s">
        <v>3</v>
      </c>
      <c r="M4" s="12" t="s">
        <v>12</v>
      </c>
      <c r="N4" s="12" t="s">
        <v>13</v>
      </c>
      <c r="O4" s="12" t="s">
        <v>14</v>
      </c>
      <c r="P4" s="13"/>
      <c r="Q4" s="18" t="s">
        <v>16</v>
      </c>
      <c r="R4" s="18" t="s">
        <v>15</v>
      </c>
    </row>
    <row r="5" spans="2:18" ht="15.75" customHeight="1">
      <c r="B5" s="9"/>
      <c r="C5" s="116" t="s">
        <v>9</v>
      </c>
      <c r="D5" s="118">
        <f>1/(1+delta)</f>
        <v>0.7142857142857143</v>
      </c>
      <c r="L5" s="5">
        <v>0</v>
      </c>
      <c r="M5" s="42">
        <v>28.707652534287256</v>
      </c>
      <c r="N5" s="42">
        <v>30</v>
      </c>
      <c r="O5" s="42">
        <f t="shared" ref="O5:O30" si="0">(beta^t)*LN(C_t)</f>
        <v>3.3571637260491016</v>
      </c>
      <c r="Q5" s="7">
        <f t="shared" ref="Q5:Q30" si="1">C_t/((1+rho)^t)</f>
        <v>28.707652534287256</v>
      </c>
      <c r="R5" s="7">
        <f t="shared" ref="R5:R30" si="2">Y_t/((1+rho)^t)</f>
        <v>30</v>
      </c>
    </row>
    <row r="6" spans="2:18" ht="15.75" customHeight="1">
      <c r="B6" s="2"/>
      <c r="C6" s="117"/>
      <c r="D6" s="119"/>
      <c r="L6" s="6">
        <v>1</v>
      </c>
      <c r="M6" s="42">
        <v>29.301601821773978</v>
      </c>
      <c r="N6" s="42">
        <f t="shared" ref="N6:N30" si="3">+N5</f>
        <v>30</v>
      </c>
      <c r="O6" s="42">
        <f t="shared" si="0"/>
        <v>2.4126015601527198</v>
      </c>
      <c r="Q6" s="7">
        <f t="shared" si="1"/>
        <v>20.069590288886285</v>
      </c>
      <c r="R6" s="7">
        <f t="shared" si="2"/>
        <v>20.547945205479454</v>
      </c>
    </row>
    <row r="7" spans="2:18" ht="15.75" customHeight="1">
      <c r="C7" s="11"/>
      <c r="L7" s="6">
        <v>2</v>
      </c>
      <c r="M7" s="42">
        <v>29.907844130302966</v>
      </c>
      <c r="N7" s="42">
        <f t="shared" si="3"/>
        <v>30</v>
      </c>
      <c r="O7" s="42">
        <f t="shared" si="0"/>
        <v>1.7337350976965109</v>
      </c>
      <c r="Q7" s="7">
        <f t="shared" si="1"/>
        <v>14.030701881358121</v>
      </c>
      <c r="R7" s="7">
        <f t="shared" si="2"/>
        <v>14.073935072246202</v>
      </c>
    </row>
    <row r="8" spans="2:18" ht="15.75" customHeight="1">
      <c r="B8" s="4" t="s">
        <v>4</v>
      </c>
      <c r="C8" s="14"/>
      <c r="D8" s="8"/>
      <c r="L8" s="6">
        <v>3</v>
      </c>
      <c r="M8" s="42">
        <v>30.526628618053195</v>
      </c>
      <c r="N8" s="42">
        <f t="shared" si="3"/>
        <v>30</v>
      </c>
      <c r="O8" s="42">
        <f t="shared" si="0"/>
        <v>1.2458452522428183</v>
      </c>
      <c r="Q8" s="7">
        <f t="shared" si="1"/>
        <v>9.8088992955491658</v>
      </c>
      <c r="R8" s="7">
        <f t="shared" si="2"/>
        <v>9.6396815563330147</v>
      </c>
    </row>
    <row r="9" spans="2:18" ht="15.75" customHeight="1">
      <c r="B9" s="10">
        <v>12</v>
      </c>
      <c r="C9" s="116" t="s">
        <v>5</v>
      </c>
      <c r="D9" s="118">
        <f>+'Modelo (1)'!delta</f>
        <v>0.4</v>
      </c>
      <c r="L9" s="6">
        <v>4</v>
      </c>
      <c r="M9" s="42">
        <v>31.158211065046473</v>
      </c>
      <c r="N9" s="42">
        <f t="shared" si="3"/>
        <v>30</v>
      </c>
      <c r="O9" s="42">
        <f t="shared" si="0"/>
        <v>0.89522017078600269</v>
      </c>
      <c r="Q9" s="7">
        <f t="shared" si="1"/>
        <v>6.8574254002753383</v>
      </c>
      <c r="R9" s="7">
        <f t="shared" si="2"/>
        <v>6.602521613926724</v>
      </c>
    </row>
    <row r="10" spans="2:18" ht="15.75" customHeight="1">
      <c r="B10" s="2"/>
      <c r="C10" s="117"/>
      <c r="D10" s="119"/>
      <c r="L10" s="6">
        <v>5</v>
      </c>
      <c r="M10" s="42">
        <v>31.802863960055355</v>
      </c>
      <c r="N10" s="42">
        <f t="shared" si="3"/>
        <v>30</v>
      </c>
      <c r="O10" s="42">
        <f t="shared" si="0"/>
        <v>0.64325064470306015</v>
      </c>
      <c r="Q10" s="7">
        <f t="shared" si="1"/>
        <v>4.7940433032200165</v>
      </c>
      <c r="R10" s="7">
        <f t="shared" si="2"/>
        <v>4.5222750780320027</v>
      </c>
    </row>
    <row r="11" spans="2:18" ht="15.75" customHeight="1">
      <c r="C11" s="11"/>
      <c r="L11" s="6">
        <v>6</v>
      </c>
      <c r="M11" s="42">
        <v>32.460853336854683</v>
      </c>
      <c r="N11" s="42">
        <f t="shared" si="3"/>
        <v>30</v>
      </c>
      <c r="O11" s="42">
        <f t="shared" si="0"/>
        <v>0.46218450255301813</v>
      </c>
      <c r="Q11" s="7">
        <f t="shared" si="1"/>
        <v>3.3515275812079892</v>
      </c>
      <c r="R11" s="7">
        <f t="shared" si="2"/>
        <v>3.097448683583564</v>
      </c>
    </row>
    <row r="12" spans="2:18" ht="15.75" customHeight="1">
      <c r="B12" s="4" t="s">
        <v>6</v>
      </c>
      <c r="C12" s="14"/>
      <c r="D12" s="8"/>
      <c r="L12" s="6">
        <v>7</v>
      </c>
      <c r="M12" s="42">
        <v>33.132456901787158</v>
      </c>
      <c r="N12" s="42">
        <f t="shared" si="3"/>
        <v>30</v>
      </c>
      <c r="O12" s="42">
        <f t="shared" si="0"/>
        <v>0.33207447244977689</v>
      </c>
      <c r="Q12" s="7">
        <f t="shared" si="1"/>
        <v>2.3430613016970274</v>
      </c>
      <c r="R12" s="7">
        <f t="shared" si="2"/>
        <v>2.1215401942353176</v>
      </c>
    </row>
    <row r="13" spans="2:18" ht="15.75" customHeight="1">
      <c r="B13" s="10">
        <v>21</v>
      </c>
      <c r="C13" s="116" t="s">
        <v>7</v>
      </c>
      <c r="D13" s="120">
        <f>+'Modelo (1)'!rho</f>
        <v>0.46</v>
      </c>
      <c r="L13" s="6">
        <v>8</v>
      </c>
      <c r="M13" s="42">
        <v>33.817953987725673</v>
      </c>
      <c r="N13" s="42">
        <f t="shared" si="3"/>
        <v>30</v>
      </c>
      <c r="O13" s="42">
        <f t="shared" si="0"/>
        <v>0.23858368038541636</v>
      </c>
      <c r="Q13" s="7">
        <f t="shared" si="1"/>
        <v>1.6380399240127985</v>
      </c>
      <c r="R13" s="7">
        <f t="shared" si="2"/>
        <v>1.453109722078985</v>
      </c>
    </row>
    <row r="14" spans="2:18" ht="15.75" customHeight="1">
      <c r="B14" s="2"/>
      <c r="C14" s="117"/>
      <c r="D14" s="121"/>
      <c r="L14" s="6">
        <v>9</v>
      </c>
      <c r="M14" s="42">
        <v>34.517638461390106</v>
      </c>
      <c r="N14" s="42">
        <f t="shared" si="3"/>
        <v>30</v>
      </c>
      <c r="O14" s="42">
        <f t="shared" si="0"/>
        <v>0.17140808450622863</v>
      </c>
      <c r="Q14" s="7">
        <f t="shared" si="1"/>
        <v>1.1451579002614947</v>
      </c>
      <c r="R14" s="7">
        <f t="shared" si="2"/>
        <v>0.9952806315609487</v>
      </c>
    </row>
    <row r="15" spans="2:18" ht="15.75" customHeight="1">
      <c r="L15" s="6">
        <v>10</v>
      </c>
      <c r="M15" s="42">
        <v>35.231803415263911</v>
      </c>
      <c r="N15" s="42">
        <f t="shared" si="3"/>
        <v>30</v>
      </c>
      <c r="O15" s="42">
        <f t="shared" si="0"/>
        <v>0.12314232872411612</v>
      </c>
      <c r="Q15" s="7">
        <f t="shared" si="1"/>
        <v>0.80058291219577749</v>
      </c>
      <c r="R15" s="7">
        <f t="shared" si="2"/>
        <v>0.68169906271297853</v>
      </c>
    </row>
    <row r="16" spans="2:18" ht="15.75" customHeight="1">
      <c r="L16" s="6">
        <v>11</v>
      </c>
      <c r="M16" s="42">
        <v>35.960734107155552</v>
      </c>
      <c r="N16" s="42">
        <f t="shared" si="3"/>
        <v>30</v>
      </c>
      <c r="O16" s="42">
        <f t="shared" si="0"/>
        <v>8.8464501097053616E-2</v>
      </c>
      <c r="Q16" s="7">
        <f t="shared" si="1"/>
        <v>0.55968946884289006</v>
      </c>
      <c r="R16" s="7">
        <f t="shared" si="2"/>
        <v>0.46691716624176621</v>
      </c>
    </row>
    <row r="17" spans="12:20" ht="15.75" customHeight="1">
      <c r="L17" s="6">
        <v>12</v>
      </c>
      <c r="M17" s="42">
        <v>36.704741609490256</v>
      </c>
      <c r="N17" s="42">
        <f t="shared" si="3"/>
        <v>30</v>
      </c>
      <c r="O17" s="42">
        <f t="shared" si="0"/>
        <v>6.3550137835497941E-2</v>
      </c>
      <c r="Q17" s="7">
        <f t="shared" si="1"/>
        <v>0.39128022693925657</v>
      </c>
      <c r="R17" s="7">
        <f t="shared" si="2"/>
        <v>0.31980627824778513</v>
      </c>
    </row>
    <row r="18" spans="12:20" ht="15.75" customHeight="1">
      <c r="L18" s="6">
        <v>13</v>
      </c>
      <c r="M18" s="42">
        <v>37.46415819903126</v>
      </c>
      <c r="N18" s="42">
        <f t="shared" si="3"/>
        <v>30</v>
      </c>
      <c r="O18" s="42">
        <f t="shared" si="0"/>
        <v>4.5650967030781905E-2</v>
      </c>
      <c r="Q18" s="7">
        <f t="shared" si="1"/>
        <v>0.27354504569220162</v>
      </c>
      <c r="R18" s="7">
        <f t="shared" si="2"/>
        <v>0.2190453960601268</v>
      </c>
    </row>
    <row r="19" spans="12:20" ht="15.75" customHeight="1">
      <c r="L19" s="6">
        <v>14</v>
      </c>
      <c r="M19" s="42">
        <v>38.239272685091592</v>
      </c>
      <c r="N19" s="42">
        <f t="shared" si="3"/>
        <v>30</v>
      </c>
      <c r="O19" s="42">
        <f t="shared" si="0"/>
        <v>3.2792124100211845E-2</v>
      </c>
      <c r="Q19" s="7">
        <f t="shared" si="1"/>
        <v>0.19123599612687392</v>
      </c>
      <c r="R19" s="7">
        <f t="shared" si="2"/>
        <v>0.15003109319186769</v>
      </c>
    </row>
    <row r="20" spans="12:20" ht="15.75" customHeight="1">
      <c r="L20" s="6">
        <v>15</v>
      </c>
      <c r="M20" s="42">
        <v>39.030458530275048</v>
      </c>
      <c r="N20" s="42">
        <f t="shared" si="3"/>
        <v>30</v>
      </c>
      <c r="O20" s="42">
        <f t="shared" si="0"/>
        <v>2.3554587565875772E-2</v>
      </c>
      <c r="Q20" s="7">
        <f t="shared" si="1"/>
        <v>0.13369366121180418</v>
      </c>
      <c r="R20" s="7">
        <f t="shared" si="2"/>
        <v>0.10276102273415595</v>
      </c>
    </row>
    <row r="21" spans="12:20" ht="15.75" customHeight="1">
      <c r="L21" s="6">
        <v>16</v>
      </c>
      <c r="M21" s="42">
        <v>39.837985045039758</v>
      </c>
      <c r="N21" s="42">
        <f t="shared" si="3"/>
        <v>30</v>
      </c>
      <c r="O21" s="42">
        <f t="shared" si="0"/>
        <v>1.6918731872212316E-2</v>
      </c>
      <c r="Q21" s="7">
        <f t="shared" si="1"/>
        <v>9.3465572760189394E-2</v>
      </c>
      <c r="R21" s="7">
        <f t="shared" si="2"/>
        <v>7.0384262146682169E-2</v>
      </c>
    </row>
    <row r="22" spans="12:20" ht="15.75" customHeight="1">
      <c r="L22" s="6">
        <v>17</v>
      </c>
      <c r="M22" s="42">
        <v>40.662215157554094</v>
      </c>
      <c r="N22" s="42">
        <f t="shared" si="3"/>
        <v>30</v>
      </c>
      <c r="O22" s="42">
        <f t="shared" si="0"/>
        <v>1.2151969933064478E-2</v>
      </c>
      <c r="Q22" s="7">
        <f t="shared" si="1"/>
        <v>6.5342009386166217E-2</v>
      </c>
      <c r="R22" s="7">
        <f t="shared" si="2"/>
        <v>4.8208398730604222E-2</v>
      </c>
    </row>
    <row r="23" spans="12:20" ht="15.75" customHeight="1">
      <c r="L23" s="6">
        <v>18</v>
      </c>
      <c r="M23" s="42">
        <v>41.503514938851417</v>
      </c>
      <c r="N23" s="42">
        <f t="shared" si="3"/>
        <v>30</v>
      </c>
      <c r="O23" s="42">
        <f t="shared" si="0"/>
        <v>8.7279519334854012E-3</v>
      </c>
      <c r="Q23" s="7">
        <f t="shared" si="1"/>
        <v>4.5680776184788545E-2</v>
      </c>
      <c r="R23" s="7">
        <f t="shared" si="2"/>
        <v>3.3019451185345362E-2</v>
      </c>
    </row>
    <row r="24" spans="12:20" ht="15.75" customHeight="1">
      <c r="L24" s="6">
        <v>19</v>
      </c>
      <c r="M24" s="42">
        <v>42.362186465236668</v>
      </c>
      <c r="N24" s="42">
        <f t="shared" si="3"/>
        <v>30</v>
      </c>
      <c r="O24" s="42">
        <f t="shared" si="0"/>
        <v>6.2685167310849773E-3</v>
      </c>
      <c r="Q24" s="7">
        <f t="shared" si="1"/>
        <v>3.1935528495282653E-2</v>
      </c>
      <c r="R24" s="7">
        <f t="shared" si="2"/>
        <v>2.2616062455716002E-2</v>
      </c>
    </row>
    <row r="25" spans="12:20" ht="15.75" customHeight="1">
      <c r="L25" s="6">
        <v>20</v>
      </c>
      <c r="M25" s="42">
        <v>43.238664278777158</v>
      </c>
      <c r="N25" s="42">
        <f t="shared" si="3"/>
        <v>30</v>
      </c>
      <c r="O25" s="42">
        <f t="shared" si="0"/>
        <v>4.5019883374853593E-3</v>
      </c>
      <c r="Q25" s="7">
        <f t="shared" si="1"/>
        <v>2.2326217621702303E-2</v>
      </c>
      <c r="R25" s="7">
        <f t="shared" si="2"/>
        <v>1.5490453736791785E-2</v>
      </c>
    </row>
    <row r="26" spans="12:20" ht="15.75" customHeight="1">
      <c r="L26" s="6">
        <v>21</v>
      </c>
      <c r="M26" s="42">
        <v>44.133319157717757</v>
      </c>
      <c r="N26" s="42">
        <f t="shared" si="3"/>
        <v>30</v>
      </c>
      <c r="O26" s="42">
        <f t="shared" si="0"/>
        <v>3.233189913789054E-3</v>
      </c>
      <c r="Q26" s="7">
        <f t="shared" si="1"/>
        <v>1.5608336499171085E-2</v>
      </c>
      <c r="R26" s="7">
        <f t="shared" si="2"/>
        <v>1.0609899819720402E-2</v>
      </c>
    </row>
    <row r="27" spans="12:20" ht="15.75" customHeight="1">
      <c r="L27" s="6">
        <v>22</v>
      </c>
      <c r="M27" s="42">
        <v>45.04616906370368</v>
      </c>
      <c r="N27" s="42">
        <f t="shared" si="3"/>
        <v>30</v>
      </c>
      <c r="O27" s="42">
        <f t="shared" si="0"/>
        <v>2.3219056262507192E-3</v>
      </c>
      <c r="Q27" s="7">
        <f t="shared" si="1"/>
        <v>1.0911765776896905E-2</v>
      </c>
      <c r="R27" s="7">
        <f t="shared" si="2"/>
        <v>7.267054671041372E-3</v>
      </c>
    </row>
    <row r="28" spans="12:20" ht="15.75" customHeight="1">
      <c r="L28" s="6">
        <v>23</v>
      </c>
      <c r="M28" s="42">
        <v>45.978304615810679</v>
      </c>
      <c r="N28" s="42">
        <f t="shared" si="3"/>
        <v>30</v>
      </c>
      <c r="O28" s="42">
        <f t="shared" si="0"/>
        <v>1.6674251771996594E-3</v>
      </c>
      <c r="Q28" s="7">
        <f t="shared" si="1"/>
        <v>7.6284669708879009E-3</v>
      </c>
      <c r="R28" s="7">
        <f t="shared" si="2"/>
        <v>4.97743470619272E-3</v>
      </c>
    </row>
    <row r="29" spans="12:20" ht="15.75" customHeight="1">
      <c r="L29" s="6">
        <v>24</v>
      </c>
      <c r="M29" s="42">
        <v>46.929515269486522</v>
      </c>
      <c r="N29" s="42">
        <f t="shared" si="3"/>
        <v>30</v>
      </c>
      <c r="O29" s="42">
        <f t="shared" si="0"/>
        <v>1.1973888244885004E-3</v>
      </c>
      <c r="Q29" s="7">
        <f t="shared" si="1"/>
        <v>5.333073014774964E-3</v>
      </c>
      <c r="R29" s="7">
        <f t="shared" si="2"/>
        <v>3.4092018535566578E-3</v>
      </c>
    </row>
    <row r="30" spans="12:20" ht="15.75" customHeight="1">
      <c r="L30" s="6">
        <v>25</v>
      </c>
      <c r="M30" s="42">
        <v>47.900922882566071</v>
      </c>
      <c r="N30" s="42">
        <f t="shared" si="3"/>
        <v>30</v>
      </c>
      <c r="O30" s="42">
        <f t="shared" si="0"/>
        <v>8.5983073586778621E-4</v>
      </c>
      <c r="Q30" s="7">
        <f t="shared" si="1"/>
        <v>3.728399887632849E-3</v>
      </c>
      <c r="R30" s="7">
        <f t="shared" si="2"/>
        <v>2.33506976271004E-3</v>
      </c>
    </row>
    <row r="31" spans="12:20" ht="15.75" customHeight="1">
      <c r="L31" s="5"/>
      <c r="M31" s="5"/>
      <c r="N31" s="5"/>
      <c r="O31" s="5"/>
      <c r="Q31" s="5"/>
      <c r="R31" s="5"/>
    </row>
    <row r="32" spans="12:20" ht="30" customHeight="1">
      <c r="M32" s="26" t="s">
        <v>20</v>
      </c>
      <c r="N32" s="69">
        <f>SUM(U_t)*1000</f>
        <v>11927.070736963124</v>
      </c>
      <c r="O32" s="23"/>
      <c r="P32" s="15"/>
      <c r="Q32" s="16">
        <f>SUM(Q5:Q30)</f>
        <v>95.398086868361816</v>
      </c>
      <c r="R32" s="16">
        <f>SUM(R5:R30)</f>
        <v>95.212315065733279</v>
      </c>
      <c r="T32" s="19"/>
    </row>
    <row r="33" spans="13:15" ht="15.75" customHeight="1">
      <c r="M33" s="26"/>
      <c r="N33" s="25"/>
    </row>
    <row r="34" spans="13:15" s="20" customFormat="1" ht="30" customHeight="1">
      <c r="M34" s="30" t="s">
        <v>17</v>
      </c>
      <c r="N34" s="44">
        <f t="array" ref="N34">SUM(C_t/((1+rho)^t))</f>
        <v>95.398086868361816</v>
      </c>
    </row>
    <row r="35" spans="13:15" ht="15.75" customHeight="1">
      <c r="M35" s="26"/>
      <c r="N35" s="24" t="s">
        <v>19</v>
      </c>
      <c r="O35" s="45">
        <f>N34-N36</f>
        <v>0.18577180262853688</v>
      </c>
    </row>
    <row r="36" spans="13:15" s="20" customFormat="1" ht="30" customHeight="1">
      <c r="M36" s="31" t="s">
        <v>18</v>
      </c>
      <c r="N36" s="44">
        <f t="array" ref="N36">SUM(Y_t/((1+rho)^t))</f>
        <v>95.212315065733279</v>
      </c>
    </row>
    <row r="37" spans="13:15" ht="15.75" customHeight="1">
      <c r="M37" s="21"/>
      <c r="N37" s="23"/>
    </row>
  </sheetData>
  <mergeCells count="6">
    <mergeCell ref="C5:C6"/>
    <mergeCell ref="D5:D6"/>
    <mergeCell ref="C9:C10"/>
    <mergeCell ref="D9:D10"/>
    <mergeCell ref="C13:C14"/>
    <mergeCell ref="D13:D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Spinner 3">
              <controlPr defaultSize="0" autoPict="0">
                <anchor moveWithCells="1" sizeWithCells="1">
                  <from>
                    <xdr:col>1</xdr:col>
                    <xdr:colOff>161925</xdr:colOff>
                    <xdr:row>8</xdr:row>
                    <xdr:rowOff>47625</xdr:rowOff>
                  </from>
                  <to>
                    <xdr:col>1</xdr:col>
                    <xdr:colOff>409575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Spinner 4">
              <controlPr defaultSize="0" autoPict="0">
                <anchor moveWithCells="1" sizeWithCells="1">
                  <from>
                    <xdr:col>1</xdr:col>
                    <xdr:colOff>161925</xdr:colOff>
                    <xdr:row>12</xdr:row>
                    <xdr:rowOff>47625</xdr:rowOff>
                  </from>
                  <to>
                    <xdr:col>1</xdr:col>
                    <xdr:colOff>409575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2:R26"/>
  <sheetViews>
    <sheetView showGridLines="0" tabSelected="1" zoomScale="85" zoomScaleNormal="85" workbookViewId="0">
      <selection activeCell="O6" sqref="O6"/>
    </sheetView>
  </sheetViews>
  <sheetFormatPr baseColWidth="10" defaultRowHeight="15.75" customHeight="1"/>
  <cols>
    <col min="1" max="1" width="4" style="1" customWidth="1"/>
    <col min="2" max="2" width="6.5703125" style="1" customWidth="1"/>
    <col min="3" max="3" width="8.140625" style="1" customWidth="1"/>
    <col min="4" max="4" width="8.28515625" style="1" customWidth="1"/>
    <col min="5" max="5" width="4" style="1" customWidth="1"/>
    <col min="6" max="10" width="8.28515625" style="1" customWidth="1"/>
    <col min="11" max="11" width="4" style="1" customWidth="1"/>
    <col min="12" max="12" width="11.42578125" style="1"/>
    <col min="13" max="16" width="11.7109375" style="1" customWidth="1"/>
    <col min="17" max="17" width="4.140625" style="1" customWidth="1"/>
    <col min="18" max="16384" width="11.42578125" style="1"/>
  </cols>
  <sheetData>
    <row r="2" spans="2:15" ht="27.75" customHeight="1" thickBot="1">
      <c r="B2" s="27" t="s">
        <v>22</v>
      </c>
      <c r="C2" s="27"/>
      <c r="D2" s="27"/>
      <c r="E2" s="28"/>
      <c r="F2" s="27" t="s">
        <v>23</v>
      </c>
      <c r="G2" s="27"/>
      <c r="H2" s="27"/>
      <c r="I2" s="27"/>
      <c r="J2" s="27"/>
      <c r="K2" s="28"/>
      <c r="L2" s="27" t="s">
        <v>44</v>
      </c>
      <c r="M2" s="29"/>
      <c r="N2" s="29"/>
      <c r="O2" s="29"/>
    </row>
    <row r="3" spans="2:15" ht="15.75" customHeight="1">
      <c r="L3" s="3" t="s">
        <v>0</v>
      </c>
      <c r="M3" s="3" t="s">
        <v>1</v>
      </c>
      <c r="N3" s="3" t="s">
        <v>2</v>
      </c>
      <c r="O3" s="3" t="s">
        <v>10</v>
      </c>
    </row>
    <row r="4" spans="2:15" ht="30">
      <c r="B4" s="4" t="s">
        <v>8</v>
      </c>
      <c r="C4" s="4"/>
      <c r="D4" s="8"/>
      <c r="L4" s="12" t="s">
        <v>43</v>
      </c>
      <c r="M4" s="12" t="s">
        <v>12</v>
      </c>
      <c r="N4" s="12" t="s">
        <v>13</v>
      </c>
      <c r="O4" s="12" t="s">
        <v>14</v>
      </c>
    </row>
    <row r="5" spans="2:15" ht="15.75" customHeight="1">
      <c r="B5" s="9"/>
      <c r="C5" s="116" t="s">
        <v>9</v>
      </c>
      <c r="D5" s="118">
        <f>1/(1+delta)</f>
        <v>0.97943192948090119</v>
      </c>
      <c r="L5" s="5">
        <v>0</v>
      </c>
      <c r="M5" s="60">
        <f>+'Datos España'!C8</f>
        <v>349268</v>
      </c>
      <c r="N5" s="60">
        <f t="shared" ref="N5:N19" si="0">C_t/0.76</f>
        <v>459563.15789473685</v>
      </c>
      <c r="O5" s="42">
        <f t="shared" ref="O5:O19" si="1">(beta^t)*LN(C_t)</f>
        <v>12.763594814803287</v>
      </c>
    </row>
    <row r="6" spans="2:15" ht="15.75" customHeight="1">
      <c r="B6" s="2"/>
      <c r="C6" s="117"/>
      <c r="D6" s="119"/>
      <c r="L6" s="6">
        <v>1</v>
      </c>
      <c r="M6" s="60">
        <f t="shared" ref="M6:M19" si="2">C_0*(beta^t)*((1+rho)^t)</f>
        <v>372871.81194906961</v>
      </c>
      <c r="N6" s="60">
        <f t="shared" si="0"/>
        <v>490620.80519614421</v>
      </c>
      <c r="O6" s="42">
        <f t="shared" si="1"/>
        <v>12.565122401431747</v>
      </c>
    </row>
    <row r="7" spans="2:15" ht="15.75" customHeight="1">
      <c r="C7" s="11"/>
      <c r="L7" s="6">
        <v>2</v>
      </c>
      <c r="M7" s="60">
        <f t="shared" si="2"/>
        <v>398070.78846668557</v>
      </c>
      <c r="N7" s="60">
        <f t="shared" si="0"/>
        <v>523777.35324563889</v>
      </c>
      <c r="O7" s="42">
        <f t="shared" si="1"/>
        <v>12.369414795581081</v>
      </c>
    </row>
    <row r="8" spans="2:15" ht="15.75" customHeight="1">
      <c r="B8" s="4" t="s">
        <v>4</v>
      </c>
      <c r="C8" s="14"/>
      <c r="D8" s="8"/>
      <c r="L8" s="6">
        <v>3</v>
      </c>
      <c r="M8" s="60">
        <f t="shared" si="2"/>
        <v>424972.73205552128</v>
      </c>
      <c r="N8" s="60">
        <f t="shared" si="0"/>
        <v>559174.6474414753</v>
      </c>
      <c r="O8" s="42">
        <f t="shared" si="1"/>
        <v>12.176442226605459</v>
      </c>
    </row>
    <row r="9" spans="2:15" ht="15.75" customHeight="1">
      <c r="B9" s="10">
        <v>21</v>
      </c>
      <c r="C9" s="116" t="s">
        <v>5</v>
      </c>
      <c r="D9" s="122">
        <f>B9/1000</f>
        <v>2.1000000000000001E-2</v>
      </c>
      <c r="L9" s="6">
        <v>4</v>
      </c>
      <c r="M9" s="60">
        <f t="shared" si="2"/>
        <v>453692.73059796111</v>
      </c>
      <c r="N9" s="60">
        <f t="shared" si="0"/>
        <v>596964.11920784356</v>
      </c>
      <c r="O9" s="42">
        <f t="shared" si="1"/>
        <v>11.986174978869084</v>
      </c>
    </row>
    <row r="10" spans="2:15" ht="15.75" customHeight="1">
      <c r="B10" s="2">
        <v>0</v>
      </c>
      <c r="C10" s="117"/>
      <c r="D10" s="123"/>
      <c r="L10" s="6">
        <v>5</v>
      </c>
      <c r="M10" s="60">
        <f t="shared" si="2"/>
        <v>484353.64970791159</v>
      </c>
      <c r="N10" s="60">
        <f t="shared" si="0"/>
        <v>637307.4338261995</v>
      </c>
      <c r="O10" s="42">
        <f t="shared" si="1"/>
        <v>11.798583402077634</v>
      </c>
    </row>
    <row r="11" spans="2:15" ht="15.75" customHeight="1">
      <c r="C11" s="11"/>
      <c r="D11" s="23"/>
      <c r="L11" s="6">
        <v>6</v>
      </c>
      <c r="M11" s="60">
        <f t="shared" si="2"/>
        <v>517086.65835614468</v>
      </c>
      <c r="N11" s="60">
        <f t="shared" si="0"/>
        <v>680377.18204755883</v>
      </c>
      <c r="O11" s="42">
        <f t="shared" si="1"/>
        <v>11.613637921161432</v>
      </c>
    </row>
    <row r="12" spans="2:15" ht="15.75" customHeight="1">
      <c r="B12" s="4"/>
      <c r="C12" s="14"/>
      <c r="D12" s="58"/>
      <c r="L12" s="6">
        <v>7</v>
      </c>
      <c r="M12" s="60">
        <f t="shared" si="2"/>
        <v>552031.79001782334</v>
      </c>
      <c r="N12" s="60">
        <f t="shared" si="0"/>
        <v>726357.61844450433</v>
      </c>
      <c r="O12" s="42">
        <f t="shared" si="1"/>
        <v>11.431309045724419</v>
      </c>
    </row>
    <row r="13" spans="2:15" ht="15.75" customHeight="1">
      <c r="B13" s="10">
        <v>90</v>
      </c>
      <c r="C13" s="116" t="s">
        <v>7</v>
      </c>
      <c r="D13" s="122">
        <f>+B13/1000</f>
        <v>0.09</v>
      </c>
      <c r="L13" s="6">
        <v>8</v>
      </c>
      <c r="M13" s="60">
        <f t="shared" si="2"/>
        <v>589338.54174282821</v>
      </c>
      <c r="N13" s="60">
        <f t="shared" si="0"/>
        <v>775445.449661616</v>
      </c>
      <c r="O13" s="42">
        <f t="shared" si="1"/>
        <v>11.251567379072611</v>
      </c>
    </row>
    <row r="14" spans="2:15" ht="15.75" customHeight="1">
      <c r="B14" s="2">
        <v>0</v>
      </c>
      <c r="C14" s="117"/>
      <c r="D14" s="123"/>
      <c r="L14" s="6">
        <v>9</v>
      </c>
      <c r="M14" s="60">
        <f t="shared" si="2"/>
        <v>629166.51371173642</v>
      </c>
      <c r="N14" s="60">
        <f t="shared" si="0"/>
        <v>827850.6759364953</v>
      </c>
      <c r="O14" s="42">
        <f t="shared" si="1"/>
        <v>11.074383626835335</v>
      </c>
    </row>
    <row r="15" spans="2:15" ht="15.75" customHeight="1">
      <c r="L15" s="6">
        <v>10</v>
      </c>
      <c r="M15" s="60">
        <f t="shared" si="2"/>
        <v>671686.09201350913</v>
      </c>
      <c r="N15" s="60">
        <f t="shared" si="0"/>
        <v>883797.48949145933</v>
      </c>
      <c r="O15" s="42">
        <f t="shared" si="1"/>
        <v>10.899728605192182</v>
      </c>
    </row>
    <row r="16" spans="2:15" ht="15.75" customHeight="1">
      <c r="L16" s="6">
        <v>11</v>
      </c>
      <c r="M16" s="60">
        <f t="shared" si="2"/>
        <v>717079.17756584217</v>
      </c>
      <c r="N16" s="60">
        <f t="shared" si="0"/>
        <v>943525.23363926599</v>
      </c>
      <c r="O16" s="42">
        <f t="shared" si="1"/>
        <v>10.727573248718247</v>
      </c>
    </row>
    <row r="17" spans="12:18" ht="15.75" customHeight="1">
      <c r="L17" s="6">
        <v>12</v>
      </c>
      <c r="M17" s="60">
        <f t="shared" si="2"/>
        <v>765539.96429654071</v>
      </c>
      <c r="N17" s="60">
        <f t="shared" si="0"/>
        <v>1007289.4267059746</v>
      </c>
      <c r="O17" s="42">
        <f t="shared" si="1"/>
        <v>10.557888617859891</v>
      </c>
    </row>
    <row r="18" spans="12:18" ht="15.75" customHeight="1">
      <c r="L18" s="6">
        <v>13</v>
      </c>
      <c r="M18" s="60">
        <f t="shared" si="2"/>
        <v>817275.76991501439</v>
      </c>
      <c r="N18" s="60">
        <f t="shared" si="0"/>
        <v>1075362.8551513348</v>
      </c>
      <c r="O18" s="42">
        <f t="shared" si="1"/>
        <v>10.390645906052859</v>
      </c>
    </row>
    <row r="19" spans="12:18" ht="15.75" customHeight="1">
      <c r="L19" s="6">
        <v>14</v>
      </c>
      <c r="M19" s="60">
        <f t="shared" si="2"/>
        <v>872507.92282797827</v>
      </c>
      <c r="N19" s="60">
        <f t="shared" si="0"/>
        <v>1148036.7405631293</v>
      </c>
      <c r="O19" s="42">
        <f t="shared" si="1"/>
        <v>10.225816446494379</v>
      </c>
    </row>
    <row r="20" spans="12:18" ht="15.75" customHeight="1">
      <c r="L20" s="5"/>
      <c r="M20" s="5"/>
      <c r="N20" s="5"/>
      <c r="O20" s="5"/>
    </row>
    <row r="21" spans="12:18" ht="30" customHeight="1">
      <c r="M21" s="26" t="s">
        <v>20</v>
      </c>
      <c r="N21" s="43">
        <f t="array" ref="N21">SUM(beta^t*LN(C_t))</f>
        <v>171.83188341647968</v>
      </c>
    </row>
    <row r="22" spans="12:18" ht="15.75" customHeight="1">
      <c r="M22" s="26"/>
      <c r="N22" s="25"/>
    </row>
    <row r="23" spans="12:18" s="20" customFormat="1" ht="30" customHeight="1">
      <c r="M23" s="30" t="s">
        <v>17</v>
      </c>
      <c r="N23" s="59">
        <f t="array" ref="N23">SUM(C_t/((1+rho)^t))/1000</f>
        <v>4547.9864943774755</v>
      </c>
      <c r="O23" s="22"/>
      <c r="P23" s="1"/>
      <c r="Q23" s="1"/>
      <c r="R23" s="1"/>
    </row>
    <row r="24" spans="12:18" ht="15.75" customHeight="1">
      <c r="M24" s="26"/>
      <c r="N24" s="22" t="s">
        <v>19</v>
      </c>
      <c r="O24" s="55">
        <f>N23-N25</f>
        <v>-1436.2062613823609</v>
      </c>
    </row>
    <row r="25" spans="12:18" s="20" customFormat="1" ht="30" customHeight="1">
      <c r="M25" s="31" t="s">
        <v>18</v>
      </c>
      <c r="N25" s="59">
        <f t="array" ref="N25">SUM(Y_t/((1+rho)^t))/1000</f>
        <v>5984.1927557598365</v>
      </c>
      <c r="O25" s="22"/>
      <c r="P25" s="1"/>
      <c r="Q25" s="1"/>
      <c r="R25" s="1"/>
    </row>
    <row r="26" spans="12:18" ht="15.75" customHeight="1">
      <c r="M26" s="21"/>
      <c r="N26" s="23"/>
    </row>
  </sheetData>
  <mergeCells count="6">
    <mergeCell ref="C5:C6"/>
    <mergeCell ref="D5:D6"/>
    <mergeCell ref="C9:C10"/>
    <mergeCell ref="D9:D10"/>
    <mergeCell ref="C13:C14"/>
    <mergeCell ref="D13:D1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Spinner 1">
              <controlPr defaultSize="0" autoPict="0">
                <anchor moveWithCells="1" sizeWithCells="1">
                  <from>
                    <xdr:col>1</xdr:col>
                    <xdr:colOff>161925</xdr:colOff>
                    <xdr:row>8</xdr:row>
                    <xdr:rowOff>47625</xdr:rowOff>
                  </from>
                  <to>
                    <xdr:col>1</xdr:col>
                    <xdr:colOff>409575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Spinner 2">
              <controlPr defaultSize="0" autoPict="0">
                <anchor moveWithCells="1" sizeWithCells="1">
                  <from>
                    <xdr:col>1</xdr:col>
                    <xdr:colOff>161925</xdr:colOff>
                    <xdr:row>12</xdr:row>
                    <xdr:rowOff>47625</xdr:rowOff>
                  </from>
                  <to>
                    <xdr:col>1</xdr:col>
                    <xdr:colOff>409575</xdr:colOff>
                    <xdr:row>13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H24"/>
  <sheetViews>
    <sheetView showGridLines="0" zoomScale="85" zoomScaleNormal="85" workbookViewId="0">
      <selection activeCell="G8" sqref="G8"/>
    </sheetView>
  </sheetViews>
  <sheetFormatPr baseColWidth="10" defaultRowHeight="15"/>
  <cols>
    <col min="1" max="1" width="4.28515625" customWidth="1"/>
    <col min="3" max="8" width="15.28515625" customWidth="1"/>
  </cols>
  <sheetData>
    <row r="2" spans="2:8" ht="18">
      <c r="B2" s="46" t="s">
        <v>26</v>
      </c>
      <c r="C2" s="46"/>
      <c r="D2" s="46"/>
      <c r="E2" s="46"/>
      <c r="F2" s="46"/>
      <c r="G2" s="46"/>
      <c r="H2" s="46"/>
    </row>
    <row r="3" spans="2:8" ht="18">
      <c r="B3" s="47" t="s">
        <v>27</v>
      </c>
      <c r="C3" s="46"/>
      <c r="D3" s="46"/>
      <c r="E3" s="46"/>
      <c r="F3" s="46"/>
      <c r="G3" s="46"/>
      <c r="H3" s="46"/>
    </row>
    <row r="4" spans="2:8" ht="15.75">
      <c r="B4" s="48" t="s">
        <v>28</v>
      </c>
      <c r="C4" s="49"/>
      <c r="D4" s="49"/>
      <c r="E4" s="49"/>
      <c r="F4" s="49"/>
      <c r="G4" s="49"/>
      <c r="H4" s="49"/>
    </row>
    <row r="5" spans="2:8" ht="15.75" thickBot="1">
      <c r="B5" s="38"/>
      <c r="C5" s="38"/>
      <c r="D5" s="38"/>
      <c r="E5" s="38"/>
      <c r="F5" s="38"/>
      <c r="G5" s="38"/>
      <c r="H5" s="38"/>
    </row>
    <row r="6" spans="2:8" ht="30" customHeight="1">
      <c r="B6" s="124" t="s">
        <v>29</v>
      </c>
      <c r="C6" s="50" t="s">
        <v>30</v>
      </c>
      <c r="D6" s="50" t="s">
        <v>31</v>
      </c>
      <c r="E6" s="50" t="s">
        <v>32</v>
      </c>
      <c r="F6" s="50" t="s">
        <v>33</v>
      </c>
      <c r="G6" s="8" t="s">
        <v>34</v>
      </c>
      <c r="H6" s="2" t="s">
        <v>35</v>
      </c>
    </row>
    <row r="7" spans="2:8" ht="18.75">
      <c r="B7" s="125"/>
      <c r="C7" s="51" t="s">
        <v>37</v>
      </c>
      <c r="D7" s="51" t="s">
        <v>38</v>
      </c>
      <c r="E7" s="51" t="s">
        <v>39</v>
      </c>
      <c r="F7" s="51" t="s">
        <v>40</v>
      </c>
      <c r="G7" s="51" t="s">
        <v>42</v>
      </c>
      <c r="H7" s="51" t="s">
        <v>41</v>
      </c>
    </row>
    <row r="8" spans="2:8">
      <c r="B8" s="1">
        <v>1995</v>
      </c>
      <c r="C8" s="20">
        <v>349268</v>
      </c>
      <c r="D8" s="20">
        <v>97926</v>
      </c>
      <c r="E8" s="20">
        <v>100104</v>
      </c>
      <c r="F8" s="20">
        <v>100093</v>
      </c>
      <c r="G8" s="54">
        <f>C_t+K_t+(Xt-M_t)</f>
        <v>447205</v>
      </c>
      <c r="H8" s="56">
        <f t="shared" ref="H8:H22" si="0">+C_t/Y_t</f>
        <v>0.78100200131930542</v>
      </c>
    </row>
    <row r="9" spans="2:8">
      <c r="B9" s="1">
        <v>1996</v>
      </c>
      <c r="C9" s="20">
        <v>368474</v>
      </c>
      <c r="D9" s="20">
        <v>102849</v>
      </c>
      <c r="E9" s="20">
        <v>111945</v>
      </c>
      <c r="F9" s="20">
        <v>109413</v>
      </c>
      <c r="G9" s="54"/>
      <c r="H9" s="56" t="e">
        <f t="shared" si="0"/>
        <v>#DIV/0!</v>
      </c>
    </row>
    <row r="10" spans="2:8">
      <c r="B10" s="1">
        <v>1997</v>
      </c>
      <c r="C10" s="20">
        <v>388373</v>
      </c>
      <c r="D10" s="20">
        <v>111185</v>
      </c>
      <c r="E10" s="20">
        <v>132556</v>
      </c>
      <c r="F10" s="20">
        <v>128193</v>
      </c>
      <c r="G10" s="54"/>
      <c r="H10" s="56" t="e">
        <f t="shared" si="0"/>
        <v>#DIV/0!</v>
      </c>
    </row>
    <row r="11" spans="2:8">
      <c r="B11" s="1">
        <v>1998</v>
      </c>
      <c r="C11" s="20">
        <v>414158</v>
      </c>
      <c r="D11" s="20">
        <v>126529</v>
      </c>
      <c r="E11" s="20">
        <v>143860</v>
      </c>
      <c r="F11" s="20">
        <v>145054</v>
      </c>
      <c r="G11" s="54"/>
      <c r="H11" s="56" t="e">
        <f t="shared" si="0"/>
        <v>#DIV/0!</v>
      </c>
    </row>
    <row r="12" spans="2:8">
      <c r="B12" s="1">
        <v>1999</v>
      </c>
      <c r="C12" s="20">
        <v>444982</v>
      </c>
      <c r="D12" s="20">
        <v>145695</v>
      </c>
      <c r="E12" s="20">
        <v>154677</v>
      </c>
      <c r="F12" s="20">
        <v>165412</v>
      </c>
      <c r="G12" s="54"/>
      <c r="H12" s="56" t="e">
        <f t="shared" si="0"/>
        <v>#DIV/0!</v>
      </c>
    </row>
    <row r="13" spans="2:8">
      <c r="B13" s="1">
        <v>2000</v>
      </c>
      <c r="C13" s="20">
        <v>484359</v>
      </c>
      <c r="D13" s="20">
        <v>165618</v>
      </c>
      <c r="E13" s="20">
        <v>182992</v>
      </c>
      <c r="F13" s="20">
        <v>202706</v>
      </c>
      <c r="G13" s="54"/>
      <c r="H13" s="56" t="e">
        <f t="shared" si="0"/>
        <v>#DIV/0!</v>
      </c>
    </row>
    <row r="14" spans="2:8">
      <c r="B14" s="1">
        <v>2001</v>
      </c>
      <c r="C14" s="20">
        <v>518484</v>
      </c>
      <c r="D14" s="20">
        <v>179385</v>
      </c>
      <c r="E14" s="20">
        <v>194142</v>
      </c>
      <c r="F14" s="20">
        <v>211333</v>
      </c>
      <c r="G14" s="54"/>
      <c r="H14" s="56" t="e">
        <f t="shared" si="0"/>
        <v>#DIV/0!</v>
      </c>
    </row>
    <row r="15" spans="2:8">
      <c r="B15" s="1">
        <v>2002</v>
      </c>
      <c r="C15" s="20">
        <v>550490</v>
      </c>
      <c r="D15" s="20">
        <v>194188</v>
      </c>
      <c r="E15" s="20">
        <v>199280</v>
      </c>
      <c r="F15" s="20">
        <v>214752</v>
      </c>
      <c r="G15" s="54"/>
      <c r="H15" s="56" t="e">
        <f t="shared" si="0"/>
        <v>#DIV/0!</v>
      </c>
    </row>
    <row r="16" spans="2:8">
      <c r="B16" s="1">
        <v>2003</v>
      </c>
      <c r="C16" s="20">
        <v>587127</v>
      </c>
      <c r="D16" s="20">
        <v>214399</v>
      </c>
      <c r="E16" s="20">
        <v>206084</v>
      </c>
      <c r="F16" s="20">
        <v>224681</v>
      </c>
      <c r="G16" s="54"/>
      <c r="H16" s="56" t="e">
        <f t="shared" si="0"/>
        <v>#DIV/0!</v>
      </c>
    </row>
    <row r="17" spans="2:8">
      <c r="B17" s="1">
        <v>2004</v>
      </c>
      <c r="C17" s="20">
        <v>636835</v>
      </c>
      <c r="D17" s="20">
        <v>237806</v>
      </c>
      <c r="E17" s="20">
        <v>218201</v>
      </c>
      <c r="F17" s="20">
        <v>251800</v>
      </c>
      <c r="G17" s="54"/>
      <c r="H17" s="56" t="e">
        <f t="shared" si="0"/>
        <v>#DIV/0!</v>
      </c>
    </row>
    <row r="18" spans="2:8">
      <c r="B18" s="1">
        <v>2005</v>
      </c>
      <c r="C18" s="20">
        <v>688864</v>
      </c>
      <c r="D18" s="20">
        <v>267924</v>
      </c>
      <c r="E18" s="20">
        <v>233387</v>
      </c>
      <c r="F18" s="20">
        <v>281383</v>
      </c>
      <c r="G18" s="54"/>
      <c r="H18" s="56" t="e">
        <f t="shared" si="0"/>
        <v>#DIV/0!</v>
      </c>
    </row>
    <row r="19" spans="2:8">
      <c r="B19" s="1">
        <v>2006</v>
      </c>
      <c r="C19" s="20">
        <v>742132</v>
      </c>
      <c r="D19" s="20">
        <v>304968</v>
      </c>
      <c r="E19" s="20">
        <v>259129</v>
      </c>
      <c r="F19" s="20">
        <v>321945</v>
      </c>
      <c r="G19" s="54"/>
      <c r="H19" s="56" t="e">
        <f t="shared" si="0"/>
        <v>#DIV/0!</v>
      </c>
    </row>
    <row r="20" spans="2:8">
      <c r="B20" s="1">
        <v>2007</v>
      </c>
      <c r="C20" s="20">
        <v>797903</v>
      </c>
      <c r="D20" s="20">
        <v>326422</v>
      </c>
      <c r="E20" s="20">
        <v>283331</v>
      </c>
      <c r="F20" s="20">
        <v>354119</v>
      </c>
      <c r="G20" s="54"/>
      <c r="H20" s="56" t="e">
        <f t="shared" si="0"/>
        <v>#DIV/0!</v>
      </c>
    </row>
    <row r="21" spans="2:8">
      <c r="B21" s="1">
        <v>2008</v>
      </c>
      <c r="C21" s="20">
        <v>834229</v>
      </c>
      <c r="D21" s="20">
        <v>316514</v>
      </c>
      <c r="E21" s="20">
        <v>288016</v>
      </c>
      <c r="F21" s="20">
        <v>350635</v>
      </c>
      <c r="G21" s="54"/>
      <c r="H21" s="56" t="e">
        <f t="shared" si="0"/>
        <v>#DIV/0!</v>
      </c>
    </row>
    <row r="22" spans="2:8" ht="15.75" thickBot="1">
      <c r="B22" s="6">
        <v>2009</v>
      </c>
      <c r="C22" s="52">
        <v>819206</v>
      </c>
      <c r="D22" s="52">
        <v>257370</v>
      </c>
      <c r="E22" s="52">
        <v>246364</v>
      </c>
      <c r="F22" s="52">
        <v>269026</v>
      </c>
      <c r="G22" s="54"/>
      <c r="H22" s="57" t="e">
        <f t="shared" si="0"/>
        <v>#DIV/0!</v>
      </c>
    </row>
    <row r="23" spans="2:8">
      <c r="B23" s="53"/>
      <c r="C23" s="53"/>
      <c r="D23" s="53"/>
      <c r="E23" s="53"/>
      <c r="F23" s="53"/>
      <c r="G23" s="53"/>
      <c r="H23" s="53"/>
    </row>
    <row r="24" spans="2:8">
      <c r="B24" s="39" t="s">
        <v>36</v>
      </c>
      <c r="C24" s="39"/>
      <c r="D24" s="39"/>
      <c r="E24" s="39"/>
      <c r="F24" s="39"/>
      <c r="G24" s="39"/>
      <c r="H24" s="39"/>
    </row>
  </sheetData>
  <mergeCells count="1">
    <mergeCell ref="B6: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2:AQ68"/>
  <sheetViews>
    <sheetView showGridLines="0" showRowColHeaders="0" zoomScale="90" zoomScaleNormal="90" workbookViewId="0">
      <pane xSplit="4" ySplit="2" topLeftCell="E3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baseColWidth="10" defaultRowHeight="15.75" customHeight="1"/>
  <cols>
    <col min="1" max="1" width="4" style="1" customWidth="1"/>
    <col min="2" max="2" width="6.5703125" style="1" customWidth="1"/>
    <col min="3" max="3" width="8.140625" style="1" customWidth="1"/>
    <col min="4" max="4" width="11.140625" style="1" customWidth="1"/>
    <col min="5" max="5" width="4" style="1" customWidth="1"/>
    <col min="6" max="10" width="8.28515625" style="1" customWidth="1"/>
    <col min="11" max="11" width="4" style="1" customWidth="1"/>
    <col min="12" max="19" width="10.42578125" style="1" customWidth="1"/>
    <col min="20" max="20" width="7" style="1" bestFit="1" customWidth="1"/>
    <col min="21" max="22" width="15.140625" style="1" hidden="1" customWidth="1"/>
    <col min="23" max="23" width="4.140625" style="1" customWidth="1"/>
    <col min="24" max="24" width="13.28515625" style="1" bestFit="1" customWidth="1"/>
    <col min="25" max="25" width="12" style="1" customWidth="1"/>
    <col min="26" max="26" width="4" style="1" customWidth="1"/>
    <col min="27" max="31" width="8.28515625" style="1" customWidth="1"/>
    <col min="32" max="32" width="4" style="1" customWidth="1"/>
    <col min="33" max="34" width="13.28515625" style="1" bestFit="1" customWidth="1"/>
    <col min="35" max="40" width="11.42578125" style="1"/>
    <col min="41" max="43" width="13.28515625" style="1" bestFit="1" customWidth="1"/>
    <col min="44" max="16384" width="11.42578125" style="1"/>
  </cols>
  <sheetData>
    <row r="2" spans="2:40" ht="27.75" customHeight="1" thickBot="1">
      <c r="B2" s="27" t="s">
        <v>22</v>
      </c>
      <c r="C2" s="27"/>
      <c r="D2" s="27"/>
      <c r="E2" s="28"/>
      <c r="F2" s="27" t="s">
        <v>23</v>
      </c>
      <c r="G2" s="27"/>
      <c r="H2" s="27"/>
      <c r="I2" s="27"/>
      <c r="J2" s="27"/>
      <c r="K2" s="28"/>
      <c r="L2" s="27" t="s">
        <v>52</v>
      </c>
      <c r="M2" s="29"/>
      <c r="N2" s="29"/>
      <c r="O2" s="29"/>
      <c r="P2" s="29"/>
      <c r="Q2" s="29"/>
      <c r="R2" s="29"/>
      <c r="S2" s="29"/>
      <c r="U2" s="29"/>
      <c r="V2" s="29"/>
      <c r="Z2" s="28"/>
      <c r="AA2" s="27" t="s">
        <v>23</v>
      </c>
      <c r="AB2" s="27"/>
      <c r="AC2" s="27"/>
      <c r="AD2" s="27"/>
      <c r="AE2" s="27"/>
      <c r="AF2" s="28"/>
      <c r="AG2" s="27" t="s">
        <v>53</v>
      </c>
      <c r="AH2" s="29"/>
      <c r="AI2" s="29"/>
      <c r="AJ2" s="29"/>
      <c r="AK2" s="29"/>
    </row>
    <row r="3" spans="2:40" ht="15.75" customHeight="1">
      <c r="L3" s="3" t="s">
        <v>0</v>
      </c>
      <c r="M3" s="3" t="s">
        <v>1</v>
      </c>
      <c r="N3" s="3" t="s">
        <v>54</v>
      </c>
      <c r="O3" s="3" t="s">
        <v>55</v>
      </c>
      <c r="P3" s="128" t="s">
        <v>56</v>
      </c>
      <c r="Q3" s="128"/>
      <c r="R3" s="3" t="s">
        <v>2</v>
      </c>
      <c r="S3" s="3" t="s">
        <v>10</v>
      </c>
      <c r="U3" s="17" t="s">
        <v>11</v>
      </c>
      <c r="V3" s="17"/>
      <c r="AG3" s="3" t="s">
        <v>55</v>
      </c>
      <c r="AH3" s="3" t="s">
        <v>57</v>
      </c>
      <c r="AI3" s="3" t="s">
        <v>58</v>
      </c>
      <c r="AJ3" s="78" t="s">
        <v>59</v>
      </c>
      <c r="AK3" s="79" t="s">
        <v>60</v>
      </c>
    </row>
    <row r="4" spans="2:40" ht="24">
      <c r="B4" s="4" t="s">
        <v>8</v>
      </c>
      <c r="C4" s="4"/>
      <c r="D4" s="8"/>
      <c r="L4" s="12" t="s">
        <v>3</v>
      </c>
      <c r="M4" s="12" t="s">
        <v>12</v>
      </c>
      <c r="N4" s="12" t="s">
        <v>61</v>
      </c>
      <c r="O4" s="12" t="s">
        <v>62</v>
      </c>
      <c r="P4" s="12" t="s">
        <v>50</v>
      </c>
      <c r="Q4" s="12" t="s">
        <v>51</v>
      </c>
      <c r="R4" s="12" t="s">
        <v>13</v>
      </c>
      <c r="S4" s="12" t="s">
        <v>14</v>
      </c>
      <c r="U4" s="18" t="s">
        <v>16</v>
      </c>
      <c r="V4" s="18" t="s">
        <v>15</v>
      </c>
      <c r="AG4" s="12" t="s">
        <v>63</v>
      </c>
      <c r="AH4" s="12" t="s">
        <v>64</v>
      </c>
      <c r="AI4" s="12" t="s">
        <v>65</v>
      </c>
      <c r="AJ4" s="12" t="s">
        <v>66</v>
      </c>
      <c r="AK4" s="12" t="s">
        <v>67</v>
      </c>
    </row>
    <row r="5" spans="2:40" ht="16.5" customHeight="1">
      <c r="B5" s="9"/>
      <c r="C5" s="70" t="s">
        <v>9</v>
      </c>
      <c r="D5" s="73">
        <f>1/(1+delta)</f>
        <v>0.93457943925233644</v>
      </c>
      <c r="L5" s="5">
        <v>0</v>
      </c>
      <c r="M5" s="80">
        <f t="array" ref="M5:M30">((beta*(1+rho))^(t/(1-gamma)))*(SUM((w_t*L_t)/(1+rho)^t)+(1+rho)*K_i)/SUM((beta^((t/(1-gamma))))*((1+rho)^(((t*gamma)/(1-gamma)))))</f>
        <v>7398.168237691666</v>
      </c>
      <c r="N5" s="81">
        <f t="shared" ref="N5" si="0">+w_fixed</f>
        <v>12000</v>
      </c>
      <c r="O5" s="80">
        <f t="array" ref="O5:O30">NH-((beta*(1+rho))^(t/gamma))*(NH-NH*lambda_0)</f>
        <v>0.95699999999999996</v>
      </c>
      <c r="P5" s="82">
        <f t="shared" ref="P5" si="1">Y_t-P_t*C_t</f>
        <v>6285.831762308334</v>
      </c>
      <c r="Q5" s="83">
        <f>+K_i</f>
        <v>2000</v>
      </c>
      <c r="R5" s="80">
        <f t="shared" ref="R5" si="2">w_t*L_t+(1+rho)*LK_t</f>
        <v>13684</v>
      </c>
      <c r="S5" s="83">
        <f t="array" ref="S5:S30">beta^t*(C_t^gamma+(NH-L_t)^(1-gamma))</f>
        <v>45.684978285344684</v>
      </c>
      <c r="U5" s="7">
        <f t="array" ref="U5:U30">(C_t+K_t)/((1+rho)^t)</f>
        <v>13684</v>
      </c>
      <c r="V5" s="7">
        <f t="shared" ref="V5" si="3">Y_t/((1+rho)^t)</f>
        <v>13684</v>
      </c>
      <c r="W5" s="23"/>
      <c r="X5" s="80"/>
      <c r="AG5" s="19">
        <f t="array" ref="AG5:AG30">(((rho/w_t )*((1-alpha)/alpha) )^alpha )*Y_t</f>
        <v>39.502305417954197</v>
      </c>
      <c r="AH5" s="19">
        <f t="array" ref="AH5:AH30">(((w_t/rho)*(alpha/(1-alpha)) )^((1-alpha)) )*Y_t</f>
        <v>4740276.6501545031</v>
      </c>
      <c r="AI5" s="19">
        <f t="shared" ref="AI5" si="4">P_t*(KD_t^alpha*LD_t^(1-alpha) )</f>
        <v>13684</v>
      </c>
      <c r="AJ5" s="19">
        <v>1</v>
      </c>
      <c r="AK5" s="19">
        <f t="array" ref="AK5:AK30">P_t*(KD_t^alpha*LD_t^(1-alpha) )-w_t*L_t-(1+rho)*LK_t</f>
        <v>0</v>
      </c>
      <c r="AM5" s="19"/>
      <c r="AN5" s="85"/>
    </row>
    <row r="6" spans="2:40" ht="16.5" customHeight="1">
      <c r="B6" s="86"/>
      <c r="C6" s="87" t="s">
        <v>68</v>
      </c>
      <c r="D6" s="88"/>
      <c r="L6" s="74">
        <v>1</v>
      </c>
      <c r="M6" s="80">
        <v>7764.9701618710615</v>
      </c>
      <c r="N6" s="81">
        <f t="shared" ref="N6:N30" si="5">+w_fixed</f>
        <v>12000</v>
      </c>
      <c r="O6" s="80">
        <v>0.95413417183100679</v>
      </c>
      <c r="P6" s="82">
        <f t="shared" ref="P6:P30" si="6">Y_t-P_t*C_t</f>
        <v>10599.05483864019</v>
      </c>
      <c r="Q6" s="83">
        <f>+P5</f>
        <v>6285.831762308334</v>
      </c>
      <c r="R6" s="80">
        <f t="shared" ref="R6:R30" si="7">w_t*L_t+(1+rho)*LK_t</f>
        <v>18364.02500051125</v>
      </c>
      <c r="S6" s="83">
        <v>43.593518929605168</v>
      </c>
      <c r="U6" s="7">
        <v>16694.568182282954</v>
      </c>
      <c r="V6" s="7">
        <f t="shared" ref="V6:V30" si="8">Y_t/((1+rho)^t)</f>
        <v>16694.568182282954</v>
      </c>
      <c r="X6" s="80"/>
      <c r="AG6" s="19">
        <v>53.012373887250945</v>
      </c>
      <c r="AH6" s="19">
        <v>6361484.8664701125</v>
      </c>
      <c r="AI6" s="19">
        <f t="shared" ref="AI6:AI30" si="9">P_t*(KD_t^alpha*LD_t^(1-alpha) )</f>
        <v>18364.025000511254</v>
      </c>
      <c r="AJ6" s="19">
        <v>1</v>
      </c>
      <c r="AK6" s="19">
        <v>3.637978807091713E-12</v>
      </c>
      <c r="AM6" s="19"/>
      <c r="AN6" s="85"/>
    </row>
    <row r="7" spans="2:40" ht="16.5" customHeight="1">
      <c r="B7" s="89">
        <v>7</v>
      </c>
      <c r="C7" s="71" t="s">
        <v>5</v>
      </c>
      <c r="D7" s="72">
        <f>B7/100</f>
        <v>7.0000000000000007E-2</v>
      </c>
      <c r="L7" s="74">
        <v>2</v>
      </c>
      <c r="M7" s="80">
        <v>8149.9581622870382</v>
      </c>
      <c r="N7" s="81">
        <f t="shared" si="5"/>
        <v>12000</v>
      </c>
      <c r="O7" s="80">
        <v>0.95107734433424174</v>
      </c>
      <c r="P7" s="82">
        <f t="shared" si="6"/>
        <v>14921.930292228069</v>
      </c>
      <c r="Q7" s="83">
        <f t="shared" ref="Q7:Q30" si="10">+P6</f>
        <v>10599.05483864019</v>
      </c>
      <c r="R7" s="80">
        <f t="shared" si="7"/>
        <v>23071.888454515109</v>
      </c>
      <c r="S7" s="83">
        <v>41.59784635769379</v>
      </c>
      <c r="U7" s="7">
        <v>19067.676408690171</v>
      </c>
      <c r="V7" s="7">
        <f t="shared" si="8"/>
        <v>19067.676408690171</v>
      </c>
      <c r="X7" s="80"/>
      <c r="Y7" s="23"/>
      <c r="AG7" s="19">
        <v>66.602805049636586</v>
      </c>
      <c r="AH7" s="19">
        <v>7992336.6059563896</v>
      </c>
      <c r="AI7" s="19">
        <f t="shared" si="9"/>
        <v>23071.888454515109</v>
      </c>
      <c r="AJ7" s="19">
        <v>1</v>
      </c>
      <c r="AK7" s="19">
        <v>-1.8189894035458565E-12</v>
      </c>
      <c r="AM7" s="19"/>
      <c r="AN7" s="85"/>
    </row>
    <row r="8" spans="2:40" ht="16.5" customHeight="1">
      <c r="B8" s="74"/>
      <c r="C8" s="90"/>
      <c r="D8" s="91"/>
      <c r="L8" s="74">
        <v>3</v>
      </c>
      <c r="M8" s="80">
        <v>8554.0339064257259</v>
      </c>
      <c r="N8" s="81">
        <f t="shared" si="5"/>
        <v>12000</v>
      </c>
      <c r="O8" s="80">
        <v>0.94781678794566304</v>
      </c>
      <c r="P8" s="82">
        <f t="shared" si="6"/>
        <v>19233.890870373107</v>
      </c>
      <c r="Q8" s="83">
        <f t="shared" si="10"/>
        <v>14921.930292228069</v>
      </c>
      <c r="R8" s="80">
        <f t="shared" si="7"/>
        <v>27787.924776798835</v>
      </c>
      <c r="S8" s="83">
        <v>39.693572422996503</v>
      </c>
      <c r="U8" s="7">
        <v>20877.479171148629</v>
      </c>
      <c r="V8" s="7">
        <f t="shared" si="8"/>
        <v>20877.479171148629</v>
      </c>
      <c r="X8" s="80"/>
      <c r="Y8" s="23"/>
      <c r="AG8" s="19">
        <v>80.2168292505294</v>
      </c>
      <c r="AH8" s="19">
        <v>9626019.5100635272</v>
      </c>
      <c r="AI8" s="19">
        <f t="shared" si="9"/>
        <v>27787.924776798838</v>
      </c>
      <c r="AJ8" s="19">
        <v>1</v>
      </c>
      <c r="AK8" s="19">
        <v>3.637978807091713E-12</v>
      </c>
      <c r="AM8" s="19"/>
      <c r="AN8" s="85"/>
    </row>
    <row r="9" spans="2:40" ht="16.5" customHeight="1">
      <c r="B9" s="4" t="s">
        <v>6</v>
      </c>
      <c r="C9" s="14"/>
      <c r="D9" s="92"/>
      <c r="L9" s="74">
        <v>4</v>
      </c>
      <c r="M9" s="80">
        <v>8978.1437665377653</v>
      </c>
      <c r="N9" s="81">
        <f t="shared" si="5"/>
        <v>12000</v>
      </c>
      <c r="O9" s="80">
        <v>0.94433892471185232</v>
      </c>
      <c r="P9" s="82">
        <f t="shared" si="6"/>
        <v>23511.203287414879</v>
      </c>
      <c r="Q9" s="83">
        <f t="shared" si="10"/>
        <v>19233.890870373107</v>
      </c>
      <c r="R9" s="80">
        <f t="shared" si="7"/>
        <v>32489.347053952646</v>
      </c>
      <c r="S9" s="83">
        <v>37.876510043549835</v>
      </c>
      <c r="U9" s="7">
        <v>22190.66119387517</v>
      </c>
      <c r="V9" s="7">
        <f t="shared" si="8"/>
        <v>22190.66119387517</v>
      </c>
      <c r="X9" s="80"/>
      <c r="AG9" s="19">
        <v>93.788666336973677</v>
      </c>
      <c r="AH9" s="19">
        <v>11254639.960436841</v>
      </c>
      <c r="AI9" s="19">
        <f t="shared" si="9"/>
        <v>32489.347053952642</v>
      </c>
      <c r="AJ9" s="19">
        <v>1</v>
      </c>
      <c r="AK9" s="19">
        <v>-3.637978807091713E-12</v>
      </c>
      <c r="AM9" s="19"/>
      <c r="AN9" s="85"/>
    </row>
    <row r="10" spans="2:40" ht="16.5" customHeight="1">
      <c r="B10" s="63">
        <v>100</v>
      </c>
      <c r="C10" s="116" t="s">
        <v>7</v>
      </c>
      <c r="D10" s="122">
        <f>+B10/1000</f>
        <v>0.1</v>
      </c>
      <c r="L10" s="74">
        <v>5</v>
      </c>
      <c r="M10" s="80">
        <v>9423.2810361050251</v>
      </c>
      <c r="N10" s="81">
        <f t="shared" si="5"/>
        <v>12000</v>
      </c>
      <c r="O10" s="80">
        <v>0.94062927174726585</v>
      </c>
      <c r="P10" s="82">
        <f t="shared" si="6"/>
        <v>27726.59384101853</v>
      </c>
      <c r="Q10" s="83">
        <f t="shared" si="10"/>
        <v>23511.203287414879</v>
      </c>
      <c r="R10" s="80">
        <f t="shared" si="7"/>
        <v>37149.874877123555</v>
      </c>
      <c r="S10" s="83">
        <v>36.142663988158702</v>
      </c>
      <c r="U10" s="7">
        <v>23067.149460185621</v>
      </c>
      <c r="V10" s="7">
        <f t="shared" si="8"/>
        <v>23067.149460185621</v>
      </c>
      <c r="X10" s="80"/>
      <c r="AG10" s="19">
        <v>107.242451303341</v>
      </c>
      <c r="AH10" s="19">
        <v>12869094.156400919</v>
      </c>
      <c r="AI10" s="19">
        <f t="shared" si="9"/>
        <v>37149.874877123555</v>
      </c>
      <c r="AJ10" s="19">
        <v>1</v>
      </c>
      <c r="AK10" s="19">
        <v>-3.637978807091713E-12</v>
      </c>
      <c r="AM10" s="19"/>
      <c r="AN10" s="85"/>
    </row>
    <row r="11" spans="2:40" ht="16.5" customHeight="1">
      <c r="B11" s="75"/>
      <c r="C11" s="117"/>
      <c r="D11" s="123"/>
      <c r="L11" s="74">
        <v>6</v>
      </c>
      <c r="M11" s="80">
        <v>9890.4882561999566</v>
      </c>
      <c r="N11" s="81">
        <f t="shared" si="5"/>
        <v>12000</v>
      </c>
      <c r="O11" s="80">
        <v>0.93667238092307226</v>
      </c>
      <c r="P11" s="82">
        <f t="shared" si="6"/>
        <v>31848.8335399973</v>
      </c>
      <c r="Q11" s="83">
        <f t="shared" si="10"/>
        <v>27726.59384101853</v>
      </c>
      <c r="R11" s="80">
        <f t="shared" si="7"/>
        <v>41739.321796197255</v>
      </c>
      <c r="S11" s="83">
        <v>34.488222084778677</v>
      </c>
      <c r="U11" s="7">
        <v>23560.759012078746</v>
      </c>
      <c r="V11" s="7">
        <f t="shared" si="8"/>
        <v>23560.759012078746</v>
      </c>
      <c r="X11" s="80"/>
      <c r="AG11" s="19">
        <v>120.49104337413451</v>
      </c>
      <c r="AH11" s="19">
        <v>14458925.204896139</v>
      </c>
      <c r="AI11" s="19">
        <f t="shared" si="9"/>
        <v>41739.321796197255</v>
      </c>
      <c r="AJ11" s="19">
        <v>1</v>
      </c>
      <c r="AK11" s="19">
        <v>3.637978807091713E-12</v>
      </c>
      <c r="AM11" s="19"/>
      <c r="AN11" s="85"/>
    </row>
    <row r="12" spans="2:40" ht="16.5" customHeight="1">
      <c r="L12" s="74">
        <v>7</v>
      </c>
      <c r="M12" s="80">
        <v>10380.859657186074</v>
      </c>
      <c r="N12" s="81">
        <f t="shared" si="5"/>
        <v>12000</v>
      </c>
      <c r="O12" s="80">
        <v>0.93245177453642281</v>
      </c>
      <c r="P12" s="82">
        <f t="shared" si="6"/>
        <v>35842.278531248034</v>
      </c>
      <c r="Q12" s="83">
        <f t="shared" si="10"/>
        <v>31848.8335399973</v>
      </c>
      <c r="R12" s="80">
        <f t="shared" si="7"/>
        <v>46223.13818843411</v>
      </c>
      <c r="S12" s="83">
        <v>32.909546831808903</v>
      </c>
      <c r="U12" s="7">
        <v>23719.778611494752</v>
      </c>
      <c r="V12" s="7">
        <f t="shared" si="8"/>
        <v>23719.778611494752</v>
      </c>
      <c r="X12" s="80"/>
      <c r="AG12" s="19">
        <v>133.43470637940854</v>
      </c>
      <c r="AH12" s="19">
        <v>16012164.765529022</v>
      </c>
      <c r="AI12" s="19">
        <f t="shared" si="9"/>
        <v>46223.13818843411</v>
      </c>
      <c r="AJ12" s="19">
        <v>1</v>
      </c>
      <c r="AK12" s="19">
        <v>0</v>
      </c>
      <c r="AM12" s="19"/>
      <c r="AN12" s="85"/>
    </row>
    <row r="13" spans="2:40" ht="16.5" customHeight="1">
      <c r="B13" s="4" t="s">
        <v>69</v>
      </c>
      <c r="C13" s="14"/>
      <c r="D13" s="8"/>
      <c r="L13" s="74">
        <v>8</v>
      </c>
      <c r="M13" s="80">
        <v>10895.543721478212</v>
      </c>
      <c r="N13" s="81">
        <f t="shared" si="5"/>
        <v>12000</v>
      </c>
      <c r="O13" s="80">
        <v>0.92794987669225959</v>
      </c>
      <c r="P13" s="82">
        <f t="shared" si="6"/>
        <v>39666.361183201741</v>
      </c>
      <c r="Q13" s="83">
        <f t="shared" si="10"/>
        <v>35842.278531248034</v>
      </c>
      <c r="R13" s="80">
        <f t="shared" si="7"/>
        <v>50561.904904679956</v>
      </c>
      <c r="S13" s="83">
        <v>31.403167393830497</v>
      </c>
      <c r="U13" s="7">
        <v>23587.501795495904</v>
      </c>
      <c r="V13" s="7">
        <f t="shared" si="8"/>
        <v>23587.501795495904</v>
      </c>
      <c r="X13" s="80"/>
      <c r="AG13" s="19">
        <v>145.95964703728617</v>
      </c>
      <c r="AH13" s="19">
        <v>17515157.644474339</v>
      </c>
      <c r="AI13" s="19">
        <f t="shared" si="9"/>
        <v>50561.904904679956</v>
      </c>
      <c r="AJ13" s="19">
        <v>1</v>
      </c>
      <c r="AK13" s="19">
        <v>0</v>
      </c>
      <c r="AM13" s="19"/>
      <c r="AN13" s="85"/>
    </row>
    <row r="14" spans="2:40" ht="16.5" customHeight="1">
      <c r="B14" s="63">
        <v>1</v>
      </c>
      <c r="C14" s="70" t="s">
        <v>70</v>
      </c>
      <c r="D14" s="93">
        <v>0.42857142857142855</v>
      </c>
      <c r="L14" s="74">
        <v>9</v>
      </c>
      <c r="M14" s="80">
        <v>11435.745873364647</v>
      </c>
      <c r="N14" s="81">
        <f t="shared" si="5"/>
        <v>12000</v>
      </c>
      <c r="O14" s="80">
        <v>0.92314794011191648</v>
      </c>
      <c r="P14" s="82">
        <f t="shared" si="6"/>
        <v>43275.026709500271</v>
      </c>
      <c r="Q14" s="83">
        <f t="shared" si="10"/>
        <v>39666.361183201741</v>
      </c>
      <c r="R14" s="80">
        <f t="shared" si="7"/>
        <v>54710.77258286492</v>
      </c>
      <c r="S14" s="83">
        <v>29.965771964170358</v>
      </c>
      <c r="U14" s="7">
        <v>23202.708351711644</v>
      </c>
      <c r="V14" s="7">
        <f t="shared" si="8"/>
        <v>23202.708351711644</v>
      </c>
      <c r="X14" s="80"/>
      <c r="AG14" s="19">
        <v>157.93639639144729</v>
      </c>
      <c r="AH14" s="19">
        <v>18952367.566973675</v>
      </c>
      <c r="AI14" s="19">
        <f t="shared" si="9"/>
        <v>54710.772582864927</v>
      </c>
      <c r="AJ14" s="19">
        <v>1</v>
      </c>
      <c r="AK14" s="19">
        <v>7.2759576141834259E-12</v>
      </c>
      <c r="AM14" s="19"/>
      <c r="AN14" s="85"/>
    </row>
    <row r="15" spans="2:40" ht="16.5" customHeight="1">
      <c r="B15" s="75"/>
      <c r="C15" s="71" t="s">
        <v>71</v>
      </c>
      <c r="D15" s="94">
        <f>1-gamma</f>
        <v>0.5714285714285714</v>
      </c>
      <c r="L15" s="74">
        <v>10</v>
      </c>
      <c r="M15" s="80">
        <v>12002.731302190947</v>
      </c>
      <c r="N15" s="81">
        <f t="shared" si="5"/>
        <v>12000</v>
      </c>
      <c r="O15" s="80">
        <v>0.91802596806372083</v>
      </c>
      <c r="P15" s="82">
        <f t="shared" si="6"/>
        <v>46616.109695024003</v>
      </c>
      <c r="Q15" s="83">
        <f t="shared" si="10"/>
        <v>43275.026709500271</v>
      </c>
      <c r="R15" s="80">
        <f t="shared" si="7"/>
        <v>58618.840997214953</v>
      </c>
      <c r="S15" s="83">
        <v>28.594200477478235</v>
      </c>
      <c r="U15" s="7">
        <v>22600.100780612931</v>
      </c>
      <c r="V15" s="7">
        <f t="shared" si="8"/>
        <v>22600.100780612931</v>
      </c>
      <c r="X15" s="80"/>
      <c r="AG15" s="19">
        <v>169.21801814662962</v>
      </c>
      <c r="AH15" s="19">
        <v>20306162.177595552</v>
      </c>
      <c r="AI15" s="19">
        <f t="shared" si="9"/>
        <v>58618.840997214946</v>
      </c>
      <c r="AJ15" s="19">
        <v>1</v>
      </c>
      <c r="AK15" s="19">
        <v>-7.2759576141834259E-12</v>
      </c>
      <c r="AM15" s="19"/>
      <c r="AN15" s="85"/>
    </row>
    <row r="16" spans="2:40" ht="16.5" customHeight="1">
      <c r="L16" s="74">
        <v>11</v>
      </c>
      <c r="M16" s="80">
        <v>12597.827925517478</v>
      </c>
      <c r="N16" s="81">
        <f t="shared" si="5"/>
        <v>12000</v>
      </c>
      <c r="O16" s="80">
        <v>0.91256263109048985</v>
      </c>
      <c r="P16" s="82">
        <f t="shared" si="6"/>
        <v>49630.64431209481</v>
      </c>
      <c r="Q16" s="83">
        <f t="shared" si="10"/>
        <v>46616.109695024003</v>
      </c>
      <c r="R16" s="80">
        <f t="shared" si="7"/>
        <v>62228.472237612288</v>
      </c>
      <c r="S16" s="83">
        <v>27.285437656275768</v>
      </c>
      <c r="U16" s="7">
        <v>21810.699893330286</v>
      </c>
      <c r="V16" s="7">
        <f t="shared" si="8"/>
        <v>21810.699893330286</v>
      </c>
      <c r="X16" s="80"/>
      <c r="AG16" s="19">
        <v>179.63812598822304</v>
      </c>
      <c r="AH16" s="19">
        <v>21556575.118586764</v>
      </c>
      <c r="AI16" s="19">
        <f t="shared" si="9"/>
        <v>62228.472237612274</v>
      </c>
      <c r="AJ16" s="19">
        <v>1</v>
      </c>
      <c r="AK16" s="19">
        <v>-1.4551915228366852E-11</v>
      </c>
      <c r="AM16" s="19"/>
      <c r="AN16" s="85"/>
    </row>
    <row r="17" spans="2:40" ht="16.5" customHeight="1">
      <c r="B17" s="4" t="s">
        <v>72</v>
      </c>
      <c r="C17" s="14"/>
      <c r="D17" s="8"/>
      <c r="L17" s="74">
        <v>12</v>
      </c>
      <c r="M17" s="80">
        <v>13222.429499190612</v>
      </c>
      <c r="N17" s="81">
        <f t="shared" si="5"/>
        <v>12000</v>
      </c>
      <c r="O17" s="80">
        <v>0.9067351781871521</v>
      </c>
      <c r="P17" s="82">
        <f t="shared" si="6"/>
        <v>52252.101382359506</v>
      </c>
      <c r="Q17" s="83">
        <f t="shared" si="10"/>
        <v>49630.64431209481</v>
      </c>
      <c r="R17" s="80">
        <f t="shared" si="7"/>
        <v>65474.530881550119</v>
      </c>
      <c r="S17" s="83">
        <v>26.036606376171008</v>
      </c>
      <c r="U17" s="7">
        <v>20862.203313990307</v>
      </c>
      <c r="V17" s="7">
        <f t="shared" si="8"/>
        <v>20862.203313990307</v>
      </c>
      <c r="X17" s="80"/>
      <c r="AG17" s="19">
        <v>189.00869014763714</v>
      </c>
      <c r="AH17" s="19">
        <v>22681042.817716457</v>
      </c>
      <c r="AI17" s="19">
        <f t="shared" si="9"/>
        <v>65474.530881550127</v>
      </c>
      <c r="AJ17" s="19">
        <v>1</v>
      </c>
      <c r="AK17" s="19">
        <v>7.2759576141834259E-12</v>
      </c>
      <c r="AM17" s="19"/>
      <c r="AN17" s="85"/>
    </row>
    <row r="18" spans="2:40" ht="16.5" customHeight="1">
      <c r="B18" s="63"/>
      <c r="C18" s="95" t="s">
        <v>73</v>
      </c>
      <c r="D18" s="96">
        <f>(1+rho)*K_i</f>
        <v>2200</v>
      </c>
      <c r="L18" s="74">
        <v>13</v>
      </c>
      <c r="M18" s="80">
        <v>13877.998881611513</v>
      </c>
      <c r="N18" s="81">
        <f t="shared" si="5"/>
        <v>12000</v>
      </c>
      <c r="O18" s="80">
        <v>0.9005193420586084</v>
      </c>
      <c r="P18" s="82">
        <f t="shared" si="6"/>
        <v>54405.544743687242</v>
      </c>
      <c r="Q18" s="83">
        <f t="shared" si="10"/>
        <v>52252.101382359506</v>
      </c>
      <c r="R18" s="80">
        <f t="shared" si="7"/>
        <v>68283.543625298757</v>
      </c>
      <c r="S18" s="83">
        <v>24.844961335133629</v>
      </c>
      <c r="U18" s="7">
        <v>19779.310310445224</v>
      </c>
      <c r="V18" s="7">
        <f t="shared" si="8"/>
        <v>19779.310310445224</v>
      </c>
      <c r="X18" s="80"/>
      <c r="AG18" s="19">
        <v>197.11761146643897</v>
      </c>
      <c r="AH18" s="19">
        <v>23654113.375972673</v>
      </c>
      <c r="AI18" s="19">
        <f t="shared" si="9"/>
        <v>68283.543625298757</v>
      </c>
      <c r="AJ18" s="19">
        <v>1</v>
      </c>
      <c r="AK18" s="19">
        <v>-7.2759576141834259E-12</v>
      </c>
      <c r="AM18" s="19"/>
      <c r="AN18" s="85"/>
    </row>
    <row r="19" spans="2:40" ht="16.5" customHeight="1">
      <c r="B19" s="75"/>
      <c r="C19" s="97" t="s">
        <v>74</v>
      </c>
      <c r="D19" s="98">
        <v>2000</v>
      </c>
      <c r="L19" s="74">
        <v>14</v>
      </c>
      <c r="M19" s="80">
        <v>14566.071459847841</v>
      </c>
      <c r="N19" s="81">
        <f t="shared" si="5"/>
        <v>12000</v>
      </c>
      <c r="O19" s="80">
        <v>0.89388923806329657</v>
      </c>
      <c r="P19" s="82">
        <f t="shared" si="6"/>
        <v>56006.698614967696</v>
      </c>
      <c r="Q19" s="83">
        <f t="shared" si="10"/>
        <v>54405.544743687242</v>
      </c>
      <c r="R19" s="80">
        <f t="shared" si="7"/>
        <v>70572.770074815533</v>
      </c>
      <c r="S19" s="83">
        <v>23.707883012895632</v>
      </c>
      <c r="U19" s="7">
        <v>18584.016063655745</v>
      </c>
      <c r="V19" s="7">
        <f t="shared" si="8"/>
        <v>18584.016063655745</v>
      </c>
      <c r="X19" s="80"/>
      <c r="AG19" s="19">
        <v>203.72603900076157</v>
      </c>
      <c r="AH19" s="19">
        <v>24447124.680091389</v>
      </c>
      <c r="AI19" s="19">
        <f t="shared" si="9"/>
        <v>70572.770074815533</v>
      </c>
      <c r="AJ19" s="19">
        <v>1</v>
      </c>
      <c r="AK19" s="19">
        <v>0</v>
      </c>
      <c r="AM19" s="19"/>
      <c r="AN19" s="85"/>
    </row>
    <row r="20" spans="2:40" ht="16.5" customHeight="1">
      <c r="D20" s="5"/>
      <c r="L20" s="74">
        <v>15</v>
      </c>
      <c r="M20" s="80">
        <v>15288.25874561222</v>
      </c>
      <c r="N20" s="81">
        <f t="shared" si="5"/>
        <v>12000</v>
      </c>
      <c r="O20" s="80">
        <v>0.886817256421633</v>
      </c>
      <c r="P20" s="82">
        <f t="shared" si="6"/>
        <v>56960.916807911846</v>
      </c>
      <c r="Q20" s="83">
        <f t="shared" si="10"/>
        <v>56006.698614967696</v>
      </c>
      <c r="R20" s="80">
        <f t="shared" si="7"/>
        <v>72249.175553524066</v>
      </c>
      <c r="S20" s="83">
        <v>22.62287190718051</v>
      </c>
      <c r="U20" s="7">
        <v>17295.878200990588</v>
      </c>
      <c r="V20" s="7">
        <f t="shared" si="8"/>
        <v>17295.878200990588</v>
      </c>
      <c r="X20" s="80"/>
      <c r="AG20" s="19">
        <v>208.56540477277827</v>
      </c>
      <c r="AH20" s="19">
        <v>25027848.572733387</v>
      </c>
      <c r="AI20" s="19">
        <f t="shared" si="9"/>
        <v>72249.175553524066</v>
      </c>
      <c r="AJ20" s="19">
        <v>1</v>
      </c>
      <c r="AK20" s="19">
        <v>0</v>
      </c>
      <c r="AM20" s="19"/>
      <c r="AN20" s="85"/>
    </row>
    <row r="21" spans="2:40" ht="16.5" customHeight="1">
      <c r="B21" s="4" t="s">
        <v>75</v>
      </c>
      <c r="C21" s="14"/>
      <c r="D21" s="8"/>
      <c r="L21" s="74">
        <v>16</v>
      </c>
      <c r="M21" s="80">
        <v>16046.252149529842</v>
      </c>
      <c r="N21" s="81">
        <f t="shared" si="5"/>
        <v>12000</v>
      </c>
      <c r="O21" s="80">
        <v>0.87927394724045138</v>
      </c>
      <c r="P21" s="82">
        <f t="shared" si="6"/>
        <v>57162.043706058612</v>
      </c>
      <c r="Q21" s="83">
        <f t="shared" si="10"/>
        <v>56960.916807911846</v>
      </c>
      <c r="R21" s="80">
        <f t="shared" si="7"/>
        <v>73208.295855588454</v>
      </c>
      <c r="S21" s="83">
        <v>21.587543034073924</v>
      </c>
      <c r="U21" s="7">
        <v>15932.258159721228</v>
      </c>
      <c r="V21" s="7">
        <f t="shared" si="8"/>
        <v>15932.258159721228</v>
      </c>
      <c r="X21" s="80"/>
      <c r="AG21" s="19">
        <v>211.33414659568879</v>
      </c>
      <c r="AH21" s="19">
        <v>25360097.591482654</v>
      </c>
      <c r="AI21" s="19">
        <f t="shared" si="9"/>
        <v>73208.295855588454</v>
      </c>
      <c r="AJ21" s="19">
        <v>1</v>
      </c>
      <c r="AK21" s="19">
        <v>0</v>
      </c>
      <c r="AM21" s="19"/>
      <c r="AN21" s="85"/>
    </row>
    <row r="22" spans="2:40" ht="16.5" customHeight="1">
      <c r="B22" s="63">
        <v>100</v>
      </c>
      <c r="C22" s="95" t="s">
        <v>76</v>
      </c>
      <c r="D22" s="99">
        <f>+NH-theta_0</f>
        <v>0.95699999999999996</v>
      </c>
      <c r="L22" s="74">
        <v>17</v>
      </c>
      <c r="M22" s="80">
        <v>16841.826942534502</v>
      </c>
      <c r="N22" s="81">
        <f t="shared" si="5"/>
        <v>12000</v>
      </c>
      <c r="O22" s="80">
        <v>0.87122789787464527</v>
      </c>
      <c r="P22" s="82">
        <f t="shared" si="6"/>
        <v>56491.155908625718</v>
      </c>
      <c r="Q22" s="83">
        <f t="shared" si="10"/>
        <v>57162.043706058612</v>
      </c>
      <c r="R22" s="80">
        <f t="shared" si="7"/>
        <v>73332.982851160225</v>
      </c>
      <c r="S22" s="83">
        <v>20.599620680429847</v>
      </c>
      <c r="T22" s="85"/>
      <c r="U22" s="7">
        <v>14508.539711647074</v>
      </c>
      <c r="V22" s="7">
        <f t="shared" si="8"/>
        <v>14508.539711647074</v>
      </c>
      <c r="X22" s="80"/>
      <c r="AG22" s="19">
        <v>211.69408694797784</v>
      </c>
      <c r="AH22" s="19">
        <v>25403290.433757339</v>
      </c>
      <c r="AI22" s="19">
        <f t="shared" si="9"/>
        <v>73332.982851160225</v>
      </c>
      <c r="AJ22" s="19">
        <v>1</v>
      </c>
      <c r="AK22" s="19">
        <v>0</v>
      </c>
      <c r="AM22" s="19"/>
      <c r="AN22" s="85"/>
    </row>
    <row r="23" spans="2:40" ht="16.5" customHeight="1">
      <c r="B23" s="100"/>
      <c r="C23" s="101" t="s">
        <v>77</v>
      </c>
      <c r="D23" s="102">
        <v>4.2999999999999997E-2</v>
      </c>
      <c r="L23" s="74">
        <v>18</v>
      </c>
      <c r="M23" s="80">
        <v>17676.846413671257</v>
      </c>
      <c r="N23" s="81">
        <f t="shared" si="5"/>
        <v>12000</v>
      </c>
      <c r="O23" s="80">
        <v>0.86264560211531249</v>
      </c>
      <c r="P23" s="82">
        <f t="shared" si="6"/>
        <v>54815.172311200789</v>
      </c>
      <c r="Q23" s="83">
        <f t="shared" si="10"/>
        <v>56491.155908625718</v>
      </c>
      <c r="R23" s="80">
        <f t="shared" si="7"/>
        <v>72492.018724872047</v>
      </c>
      <c r="S23" s="83">
        <v>19.656933396761417</v>
      </c>
      <c r="U23" s="7">
        <v>13038.326765931544</v>
      </c>
      <c r="V23" s="7">
        <f t="shared" si="8"/>
        <v>13038.326765931544</v>
      </c>
      <c r="X23" s="80"/>
      <c r="AG23" s="19">
        <v>209.26643262452134</v>
      </c>
      <c r="AH23" s="19">
        <v>25111971.914942559</v>
      </c>
      <c r="AI23" s="19">
        <f t="shared" si="9"/>
        <v>72492.018724872047</v>
      </c>
      <c r="AJ23" s="19">
        <v>1</v>
      </c>
      <c r="AK23" s="19">
        <v>7.2759576141834259E-12</v>
      </c>
      <c r="AM23" s="19"/>
      <c r="AN23" s="85"/>
    </row>
    <row r="24" spans="2:40" ht="16.5" customHeight="1">
      <c r="B24" s="103"/>
      <c r="C24" s="97" t="s">
        <v>78</v>
      </c>
      <c r="D24" s="75">
        <v>1</v>
      </c>
      <c r="L24" s="74">
        <v>19</v>
      </c>
      <c r="M24" s="80">
        <v>18553.266234043083</v>
      </c>
      <c r="N24" s="81">
        <f t="shared" si="5"/>
        <v>12000</v>
      </c>
      <c r="O24" s="80">
        <v>0.85349132065966082</v>
      </c>
      <c r="P24" s="82">
        <f t="shared" si="6"/>
        <v>51985.319156193713</v>
      </c>
      <c r="Q24" s="83">
        <f t="shared" si="10"/>
        <v>54815.172311200789</v>
      </c>
      <c r="R24" s="80">
        <f t="shared" si="7"/>
        <v>70538.585390236796</v>
      </c>
      <c r="S24" s="83">
        <v>18.757409219594877</v>
      </c>
      <c r="U24" s="7">
        <v>11533.622372905204</v>
      </c>
      <c r="V24" s="7">
        <f t="shared" si="8"/>
        <v>11533.622372905204</v>
      </c>
      <c r="X24" s="80"/>
      <c r="AG24" s="19">
        <v>203.62735631654309</v>
      </c>
      <c r="AH24" s="19">
        <v>24435282.757985171</v>
      </c>
      <c r="AI24" s="19">
        <f t="shared" si="9"/>
        <v>70538.585390236796</v>
      </c>
      <c r="AJ24" s="19">
        <v>1</v>
      </c>
      <c r="AK24" s="19">
        <v>-7.2759576141834259E-12</v>
      </c>
      <c r="AM24" s="19"/>
      <c r="AN24" s="85"/>
    </row>
    <row r="25" spans="2:40" ht="16.5" customHeight="1">
      <c r="L25" s="74">
        <v>20</v>
      </c>
      <c r="M25" s="80">
        <v>19473.13903712267</v>
      </c>
      <c r="N25" s="81">
        <f t="shared" si="5"/>
        <v>12000</v>
      </c>
      <c r="O25" s="80">
        <v>0.84372693228162532</v>
      </c>
      <c r="P25" s="82">
        <f t="shared" si="6"/>
        <v>47835.435222069922</v>
      </c>
      <c r="Q25" s="83">
        <f t="shared" si="10"/>
        <v>51985.319156193713</v>
      </c>
      <c r="R25" s="80">
        <f t="shared" si="7"/>
        <v>67308.574259192595</v>
      </c>
      <c r="S25" s="83">
        <v>17.899071112770045</v>
      </c>
      <c r="U25" s="7">
        <v>10004.990675018864</v>
      </c>
      <c r="V25" s="7">
        <f t="shared" si="8"/>
        <v>10004.990675018864</v>
      </c>
      <c r="X25" s="80"/>
      <c r="AG25" s="19">
        <v>194.30311733657382</v>
      </c>
      <c r="AH25" s="19">
        <v>23316374.080388855</v>
      </c>
      <c r="AI25" s="19">
        <f t="shared" si="9"/>
        <v>67308.57425919261</v>
      </c>
      <c r="AJ25" s="19">
        <v>1</v>
      </c>
      <c r="AK25" s="19">
        <v>2.1827872842550278E-11</v>
      </c>
      <c r="AM25" s="19"/>
      <c r="AN25" s="85"/>
    </row>
    <row r="26" spans="2:40" ht="16.5" customHeight="1">
      <c r="B26" s="4" t="s">
        <v>79</v>
      </c>
      <c r="C26" s="14"/>
      <c r="D26" s="8"/>
      <c r="L26" s="74">
        <v>21</v>
      </c>
      <c r="M26" s="80">
        <v>20438.619226156323</v>
      </c>
      <c r="N26" s="81">
        <f t="shared" si="5"/>
        <v>12000</v>
      </c>
      <c r="O26" s="80">
        <v>0.83331177508343224</v>
      </c>
      <c r="P26" s="82">
        <f t="shared" si="6"/>
        <v>42180.100819121784</v>
      </c>
      <c r="Q26" s="83">
        <f t="shared" si="10"/>
        <v>47835.435222069922</v>
      </c>
      <c r="R26" s="80">
        <f t="shared" si="7"/>
        <v>62618.720045278103</v>
      </c>
      <c r="S26" s="83">
        <v>17.080032617653327</v>
      </c>
      <c r="U26" s="7">
        <v>8461.7033906893594</v>
      </c>
      <c r="V26" s="7">
        <f t="shared" si="8"/>
        <v>8461.7033906893594</v>
      </c>
      <c r="X26" s="80"/>
      <c r="AG26" s="19">
        <v>180.76467437225566</v>
      </c>
      <c r="AH26" s="19">
        <v>21691760.924670678</v>
      </c>
      <c r="AI26" s="19">
        <f t="shared" si="9"/>
        <v>62618.720045278111</v>
      </c>
      <c r="AJ26" s="19">
        <v>1</v>
      </c>
      <c r="AK26" s="19">
        <v>7.2759576141834259E-12</v>
      </c>
      <c r="AM26" s="19"/>
      <c r="AN26" s="85"/>
    </row>
    <row r="27" spans="2:40" ht="16.5" customHeight="1">
      <c r="B27" s="63">
        <v>185</v>
      </c>
      <c r="C27" s="129" t="s">
        <v>80</v>
      </c>
      <c r="D27" s="120">
        <v>12000</v>
      </c>
      <c r="L27" s="74">
        <v>22</v>
      </c>
      <c r="M27" s="80">
        <v>21451.968019919801</v>
      </c>
      <c r="N27" s="81">
        <f t="shared" si="5"/>
        <v>12000</v>
      </c>
      <c r="O27" s="80">
        <v>0.82220247716702877</v>
      </c>
      <c r="P27" s="82">
        <f t="shared" si="6"/>
        <v>34812.572607118505</v>
      </c>
      <c r="Q27" s="83">
        <f t="shared" si="10"/>
        <v>42180.100819121784</v>
      </c>
      <c r="R27" s="80">
        <f t="shared" si="7"/>
        <v>56264.54062703831</v>
      </c>
      <c r="S27" s="83">
        <v>16.298493702688408</v>
      </c>
      <c r="U27" s="7">
        <v>6911.8722710039583</v>
      </c>
      <c r="V27" s="7">
        <f t="shared" si="8"/>
        <v>6911.8722710039583</v>
      </c>
      <c r="X27" s="80"/>
      <c r="AG27" s="19">
        <v>162.42173838425603</v>
      </c>
      <c r="AH27" s="19">
        <v>19490608.606110722</v>
      </c>
      <c r="AI27" s="19">
        <f t="shared" si="9"/>
        <v>56264.54062703831</v>
      </c>
      <c r="AJ27" s="19">
        <v>1</v>
      </c>
      <c r="AK27" s="19">
        <v>0</v>
      </c>
      <c r="AM27" s="19"/>
      <c r="AN27" s="85"/>
    </row>
    <row r="28" spans="2:40" ht="16.5" customHeight="1">
      <c r="B28" s="103">
        <v>1</v>
      </c>
      <c r="C28" s="130"/>
      <c r="D28" s="121"/>
      <c r="L28" s="74">
        <v>23</v>
      </c>
      <c r="M28" s="80">
        <v>22515.55874864275</v>
      </c>
      <c r="N28" s="81">
        <f t="shared" si="5"/>
        <v>12000</v>
      </c>
      <c r="O28" s="80">
        <v>0.81035277602023981</v>
      </c>
      <c r="P28" s="82">
        <f t="shared" si="6"/>
        <v>25502.504431430487</v>
      </c>
      <c r="Q28" s="83">
        <f t="shared" si="10"/>
        <v>34812.572607118505</v>
      </c>
      <c r="R28" s="80">
        <f t="shared" si="7"/>
        <v>48018.063180073237</v>
      </c>
      <c r="S28" s="83">
        <v>15.552736803148894</v>
      </c>
      <c r="U28" s="7">
        <v>5362.5688367983657</v>
      </c>
      <c r="V28" s="7">
        <f t="shared" si="8"/>
        <v>5362.5688367983657</v>
      </c>
      <c r="X28" s="80"/>
      <c r="AG28" s="19">
        <v>138.61620851489872</v>
      </c>
      <c r="AH28" s="19">
        <v>16633945.021787845</v>
      </c>
      <c r="AI28" s="19">
        <f t="shared" si="9"/>
        <v>48018.063180073237</v>
      </c>
      <c r="AJ28" s="19">
        <v>1</v>
      </c>
      <c r="AK28" s="19">
        <v>0</v>
      </c>
      <c r="AM28" s="19"/>
      <c r="AN28" s="85"/>
    </row>
    <row r="29" spans="2:40" ht="16.5" customHeight="1">
      <c r="L29" s="74">
        <v>24</v>
      </c>
      <c r="M29" s="80">
        <v>23631.882412505991</v>
      </c>
      <c r="N29" s="81">
        <f t="shared" si="5"/>
        <v>12000</v>
      </c>
      <c r="O29" s="80">
        <v>0.79771332586552901</v>
      </c>
      <c r="P29" s="82">
        <f t="shared" si="6"/>
        <v>13993.432372453892</v>
      </c>
      <c r="Q29" s="83">
        <f t="shared" si="10"/>
        <v>25502.504431430487</v>
      </c>
      <c r="R29" s="80">
        <f t="shared" si="7"/>
        <v>37625.314784959883</v>
      </c>
      <c r="S29" s="83">
        <v>14.841123042376385</v>
      </c>
      <c r="U29" s="7">
        <v>3819.9325832845311</v>
      </c>
      <c r="V29" s="7">
        <f t="shared" si="8"/>
        <v>3819.9325832845311</v>
      </c>
      <c r="X29" s="80"/>
      <c r="AG29" s="19">
        <v>108.61492809720498</v>
      </c>
      <c r="AH29" s="19">
        <v>13033791.371664597</v>
      </c>
      <c r="AI29" s="19">
        <f t="shared" si="9"/>
        <v>37625.314784959883</v>
      </c>
      <c r="AJ29" s="19">
        <v>1</v>
      </c>
      <c r="AK29" s="19">
        <v>-3.637978807091713E-12</v>
      </c>
      <c r="AM29" s="19"/>
      <c r="AN29" s="85"/>
    </row>
    <row r="30" spans="2:40" ht="16.5" customHeight="1">
      <c r="B30" s="4" t="s">
        <v>81</v>
      </c>
      <c r="C30" s="14"/>
      <c r="D30" s="8"/>
      <c r="L30" s="74">
        <v>25</v>
      </c>
      <c r="M30" s="80">
        <v>24803.553515729345</v>
      </c>
      <c r="N30" s="81">
        <f t="shared" si="5"/>
        <v>12000</v>
      </c>
      <c r="O30" s="80">
        <v>0.78423149216909915</v>
      </c>
      <c r="P30" s="104">
        <f t="shared" si="6"/>
        <v>-8.7311491370201111E-10</v>
      </c>
      <c r="Q30" s="83">
        <f t="shared" si="10"/>
        <v>13993.432372453892</v>
      </c>
      <c r="R30" s="80">
        <f t="shared" si="7"/>
        <v>24803.553515728472</v>
      </c>
      <c r="S30" s="83">
        <v>14.162088626185989</v>
      </c>
      <c r="U30" s="7">
        <v>2289.2687300723856</v>
      </c>
      <c r="V30" s="7">
        <f t="shared" si="8"/>
        <v>2289.2687300723856</v>
      </c>
      <c r="X30" s="80"/>
      <c r="AG30" s="84">
        <v>71.601691495825619</v>
      </c>
      <c r="AH30" s="84">
        <v>8592202.9794990737</v>
      </c>
      <c r="AI30" s="84">
        <f t="shared" si="9"/>
        <v>24803.553515728472</v>
      </c>
      <c r="AJ30" s="84">
        <v>1</v>
      </c>
      <c r="AK30" s="84">
        <v>0</v>
      </c>
      <c r="AM30" s="19"/>
      <c r="AN30" s="85"/>
    </row>
    <row r="31" spans="2:40" ht="16.5" customHeight="1">
      <c r="B31" s="63">
        <v>78</v>
      </c>
      <c r="C31" s="70" t="s">
        <v>82</v>
      </c>
      <c r="D31" s="105">
        <v>0.5</v>
      </c>
      <c r="L31" s="5"/>
      <c r="M31" s="5"/>
      <c r="N31" s="5"/>
      <c r="O31" s="5"/>
      <c r="P31" s="5"/>
      <c r="Q31" s="5"/>
      <c r="R31" s="5"/>
      <c r="S31" s="5"/>
      <c r="U31" s="5"/>
      <c r="V31" s="5"/>
      <c r="AI31" s="19"/>
      <c r="AJ31" s="19"/>
    </row>
    <row r="32" spans="2:40" ht="16.5" customHeight="1">
      <c r="B32" s="75"/>
      <c r="C32" s="71" t="s">
        <v>83</v>
      </c>
      <c r="D32" s="94">
        <f>1-alpha</f>
        <v>0.5</v>
      </c>
      <c r="N32" s="26"/>
      <c r="O32" s="26"/>
      <c r="P32" s="26"/>
      <c r="T32" s="106"/>
      <c r="U32" s="16">
        <f>SUM(U5:U30)</f>
        <v>422447.57424706116</v>
      </c>
      <c r="V32" s="16">
        <f>SUM(V5:V30)</f>
        <v>422447.57424706116</v>
      </c>
    </row>
    <row r="33" spans="1:43" ht="16.5" customHeight="1">
      <c r="N33" s="26"/>
      <c r="O33" s="26"/>
      <c r="P33" s="26"/>
      <c r="Q33" s="26"/>
      <c r="R33" s="107"/>
      <c r="S33" s="108"/>
      <c r="T33" s="108"/>
      <c r="AG33" s="19">
        <f>(1-alpha)/alpha</f>
        <v>1</v>
      </c>
      <c r="AH33" s="19">
        <f>+(alpha/(1-alpha))</f>
        <v>1</v>
      </c>
    </row>
    <row r="34" spans="1:43" s="20" customFormat="1" ht="16.5" customHeight="1">
      <c r="E34" s="1"/>
      <c r="N34" s="30"/>
      <c r="O34" s="30"/>
      <c r="P34" s="30"/>
      <c r="T34" s="109"/>
      <c r="AG34" s="1"/>
      <c r="AH34" s="1"/>
      <c r="AI34" s="1"/>
      <c r="AJ34" s="1"/>
      <c r="AK34" s="1"/>
      <c r="AL34" s="1"/>
      <c r="AO34" s="1"/>
      <c r="AP34" s="1"/>
      <c r="AQ34" s="1"/>
    </row>
    <row r="35" spans="1:43" ht="16.5" customHeight="1">
      <c r="B35" s="4" t="s">
        <v>84</v>
      </c>
      <c r="C35" s="14"/>
      <c r="D35" s="8"/>
      <c r="E35" s="20"/>
      <c r="N35" s="26"/>
      <c r="O35" s="26"/>
      <c r="P35" s="26"/>
      <c r="Q35" s="26"/>
      <c r="R35" s="107"/>
    </row>
    <row r="36" spans="1:43" s="20" customFormat="1" ht="16.5" customHeight="1">
      <c r="A36" s="131" t="s">
        <v>85</v>
      </c>
      <c r="B36" s="131"/>
      <c r="C36" s="131"/>
      <c r="D36" s="132">
        <f t="array" ref="D36">SUM(beta^t*(C_t^gamma+(NH-L_t)^(1-gamma)))</f>
        <v>702.88281130275504</v>
      </c>
      <c r="E36" s="1"/>
      <c r="N36" s="31"/>
      <c r="O36" s="31"/>
      <c r="P36" s="31"/>
      <c r="T36" s="109"/>
      <c r="AG36" s="1"/>
      <c r="AH36" s="1"/>
      <c r="AI36" s="1"/>
      <c r="AJ36" s="1"/>
      <c r="AK36" s="1"/>
      <c r="AL36" s="1"/>
      <c r="AO36" s="1"/>
      <c r="AP36" s="1"/>
      <c r="AQ36" s="1"/>
    </row>
    <row r="37" spans="1:43" ht="16.5" customHeight="1">
      <c r="A37" s="131"/>
      <c r="B37" s="131"/>
      <c r="C37" s="131"/>
      <c r="D37" s="132"/>
      <c r="E37" s="20"/>
      <c r="M37" s="21"/>
      <c r="N37" s="21"/>
      <c r="O37" s="21"/>
      <c r="P37" s="21"/>
      <c r="Q37" s="21"/>
      <c r="R37" s="23"/>
    </row>
    <row r="38" spans="1:43" ht="16.5" customHeight="1"/>
    <row r="39" spans="1:43" ht="16.5" customHeight="1">
      <c r="B39" s="4" t="s">
        <v>86</v>
      </c>
      <c r="C39" s="14"/>
      <c r="D39" s="8"/>
    </row>
    <row r="40" spans="1:43" ht="16.5" customHeight="1">
      <c r="A40" s="126" t="s">
        <v>87</v>
      </c>
      <c r="B40" s="126"/>
      <c r="C40" s="126"/>
      <c r="D40" s="110">
        <f t="array" ref="D40">SUM((P_t*C_t+K_t)/((1+rho)^t))</f>
        <v>422447.57424706116</v>
      </c>
    </row>
    <row r="41" spans="1:43" ht="16.5" customHeight="1">
      <c r="A41" s="126"/>
      <c r="B41" s="126"/>
      <c r="C41" s="126"/>
      <c r="D41" s="111"/>
    </row>
    <row r="42" spans="1:43" ht="16.5" customHeight="1">
      <c r="A42" s="127" t="s">
        <v>88</v>
      </c>
      <c r="B42" s="127"/>
      <c r="C42" s="127"/>
      <c r="D42" s="112">
        <f t="array" ref="D42">SUM(Y_t/((1+rho)^t))</f>
        <v>422447.57424706116</v>
      </c>
    </row>
    <row r="43" spans="1:43" ht="16.5" customHeight="1">
      <c r="A43" s="127"/>
      <c r="B43" s="127"/>
      <c r="C43" s="127"/>
      <c r="D43" s="112"/>
    </row>
    <row r="44" spans="1:43" ht="16.5" customHeight="1">
      <c r="C44" s="113" t="s">
        <v>19</v>
      </c>
      <c r="D44" s="114">
        <f>D40-D42</f>
        <v>0</v>
      </c>
    </row>
    <row r="45" spans="1:43" ht="16.5" customHeight="1"/>
    <row r="46" spans="1:43" ht="16.5" customHeight="1"/>
    <row r="47" spans="1:43" ht="16.5" customHeight="1"/>
    <row r="48" spans="1:4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</sheetData>
  <mergeCells count="9">
    <mergeCell ref="A40:C41"/>
    <mergeCell ref="A42:C43"/>
    <mergeCell ref="P3:Q3"/>
    <mergeCell ref="C10:C11"/>
    <mergeCell ref="D10:D11"/>
    <mergeCell ref="C27:C28"/>
    <mergeCell ref="D27:D28"/>
    <mergeCell ref="A36:C37"/>
    <mergeCell ref="D36:D37"/>
  </mergeCell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Spinner 1">
              <controlPr defaultSize="0" autoPict="0">
                <anchor moveWithCells="1" sizeWithCells="1">
                  <from>
                    <xdr:col>1</xdr:col>
                    <xdr:colOff>152400</xdr:colOff>
                    <xdr:row>4</xdr:row>
                    <xdr:rowOff>152400</xdr:rowOff>
                  </from>
                  <to>
                    <xdr:col>1</xdr:col>
                    <xdr:colOff>400050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pinner 2">
              <controlPr defaultSize="0" autoPict="0">
                <anchor moveWithCells="1" sizeWithCells="1">
                  <from>
                    <xdr:col>1</xdr:col>
                    <xdr:colOff>161925</xdr:colOff>
                    <xdr:row>9</xdr:row>
                    <xdr:rowOff>47625</xdr:rowOff>
                  </from>
                  <to>
                    <xdr:col>1</xdr:col>
                    <xdr:colOff>409575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Spinner 3">
              <controlPr defaultSize="0" autoPict="0">
                <anchor moveWithCells="1" sizeWithCells="1">
                  <from>
                    <xdr:col>1</xdr:col>
                    <xdr:colOff>161925</xdr:colOff>
                    <xdr:row>17</xdr:row>
                    <xdr:rowOff>47625</xdr:rowOff>
                  </from>
                  <to>
                    <xdr:col>1</xdr:col>
                    <xdr:colOff>409575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Spinner 4">
              <controlPr defaultSize="0" autoPict="0">
                <anchor moveWithCells="1" sizeWithCells="1">
                  <from>
                    <xdr:col>1</xdr:col>
                    <xdr:colOff>142875</xdr:colOff>
                    <xdr:row>21</xdr:row>
                    <xdr:rowOff>66675</xdr:rowOff>
                  </from>
                  <to>
                    <xdr:col>1</xdr:col>
                    <xdr:colOff>390525</xdr:colOff>
                    <xdr:row>22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79</vt:i4>
      </vt:variant>
    </vt:vector>
  </HeadingPairs>
  <TitlesOfParts>
    <vt:vector size="87" baseType="lpstr">
      <vt:lpstr>Notación</vt:lpstr>
      <vt:lpstr>Modelo (1)</vt:lpstr>
      <vt:lpstr>Modelo (1sol)</vt:lpstr>
      <vt:lpstr>Modelo (2)</vt:lpstr>
      <vt:lpstr>Modelo (3)</vt:lpstr>
      <vt:lpstr>Datos España</vt:lpstr>
      <vt:lpstr>...</vt:lpstr>
      <vt:lpstr>Modelo (4)</vt:lpstr>
      <vt:lpstr>'Modelo (4)'!alpha</vt:lpstr>
      <vt:lpstr>alpha</vt:lpstr>
      <vt:lpstr>'Modelo (1)'!Área_de_impresión</vt:lpstr>
      <vt:lpstr>'Modelo (1sol)'!Área_de_impresión</vt:lpstr>
      <vt:lpstr>'Modelo (4)'!Área_de_impresión</vt:lpstr>
      <vt:lpstr>B_0</vt:lpstr>
      <vt:lpstr>'Modelo (1)'!beta</vt:lpstr>
      <vt:lpstr>'Modelo (1sol)'!beta</vt:lpstr>
      <vt:lpstr>'Modelo (2)'!beta</vt:lpstr>
      <vt:lpstr>'Modelo (3)'!beta</vt:lpstr>
      <vt:lpstr>'Modelo (4)'!beta</vt:lpstr>
      <vt:lpstr>beta</vt:lpstr>
      <vt:lpstr>'Modelo (1)'!C_0</vt:lpstr>
      <vt:lpstr>'Modelo (1sol)'!C_0</vt:lpstr>
      <vt:lpstr>'Modelo (2)'!C_0</vt:lpstr>
      <vt:lpstr>'Modelo (3)'!C_0</vt:lpstr>
      <vt:lpstr>'Modelo (4)'!C_0</vt:lpstr>
      <vt:lpstr>'Modelo (1)'!C_t</vt:lpstr>
      <vt:lpstr>'Modelo (1sol)'!C_t</vt:lpstr>
      <vt:lpstr>'Modelo (2)'!C_t</vt:lpstr>
      <vt:lpstr>'Modelo (3)'!C_t</vt:lpstr>
      <vt:lpstr>'Modelo (4)'!C_t</vt:lpstr>
      <vt:lpstr>C_t</vt:lpstr>
      <vt:lpstr>'Modelo (1)'!delta</vt:lpstr>
      <vt:lpstr>'Modelo (1sol)'!delta</vt:lpstr>
      <vt:lpstr>'Modelo (2)'!delta</vt:lpstr>
      <vt:lpstr>'Modelo (3)'!delta</vt:lpstr>
      <vt:lpstr>'Modelo (4)'!delta</vt:lpstr>
      <vt:lpstr>'Modelo (4)'!gamma</vt:lpstr>
      <vt:lpstr>gamma</vt:lpstr>
      <vt:lpstr>K_i</vt:lpstr>
      <vt:lpstr>'Modelo (4)'!K_t</vt:lpstr>
      <vt:lpstr>K_t</vt:lpstr>
      <vt:lpstr>KD_t</vt:lpstr>
      <vt:lpstr>L_0</vt:lpstr>
      <vt:lpstr>L_t</vt:lpstr>
      <vt:lpstr>lambda_0</vt:lpstr>
      <vt:lpstr>LD_t</vt:lpstr>
      <vt:lpstr>LK_t</vt:lpstr>
      <vt:lpstr>M_t</vt:lpstr>
      <vt:lpstr>NH</vt:lpstr>
      <vt:lpstr>Notación!OLE_LINK1</vt:lpstr>
      <vt:lpstr>P_t</vt:lpstr>
      <vt:lpstr>'Modelo (1)'!rho</vt:lpstr>
      <vt:lpstr>'Modelo (1sol)'!rho</vt:lpstr>
      <vt:lpstr>'Modelo (2)'!rho</vt:lpstr>
      <vt:lpstr>'Modelo (3)'!rho</vt:lpstr>
      <vt:lpstr>'Modelo (4)'!rho</vt:lpstr>
      <vt:lpstr>rho</vt:lpstr>
      <vt:lpstr>'Modelo (1)'!t</vt:lpstr>
      <vt:lpstr>'Modelo (1sol)'!t</vt:lpstr>
      <vt:lpstr>'Modelo (2)'!t</vt:lpstr>
      <vt:lpstr>'Modelo (3)'!t</vt:lpstr>
      <vt:lpstr>'Modelo (4)'!t</vt:lpstr>
      <vt:lpstr>theta_0</vt:lpstr>
      <vt:lpstr>'Modelo (1)'!U_t</vt:lpstr>
      <vt:lpstr>'Modelo (1sol)'!U_t</vt:lpstr>
      <vt:lpstr>'Modelo (2)'!U_t</vt:lpstr>
      <vt:lpstr>'Modelo (3)'!U_t</vt:lpstr>
      <vt:lpstr>'Modelo (4)'!U_t</vt:lpstr>
      <vt:lpstr>w_fixed</vt:lpstr>
      <vt:lpstr>w_t</vt:lpstr>
      <vt:lpstr>X_1</vt:lpstr>
      <vt:lpstr>X_2</vt:lpstr>
      <vt:lpstr>X_3</vt:lpstr>
      <vt:lpstr>X_4</vt:lpstr>
      <vt:lpstr>'Modelo (4)'!X_t</vt:lpstr>
      <vt:lpstr>X_t</vt:lpstr>
      <vt:lpstr>'Datos España'!Xt</vt:lpstr>
      <vt:lpstr>'Modelo (1sol)'!Y_0</vt:lpstr>
      <vt:lpstr>'Modelo (3)'!Y_0</vt:lpstr>
      <vt:lpstr>'Modelo (4)'!Y_0</vt:lpstr>
      <vt:lpstr>Y_0</vt:lpstr>
      <vt:lpstr>'Modelo (1)'!Y_t</vt:lpstr>
      <vt:lpstr>'Modelo (1sol)'!Y_t</vt:lpstr>
      <vt:lpstr>'Modelo (2)'!Y_t</vt:lpstr>
      <vt:lpstr>'Modelo (3)'!Y_t</vt:lpstr>
      <vt:lpstr>'Modelo (4)'!Y_t</vt:lpstr>
      <vt:lpstr>Y_t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AlCAMPO</dc:creator>
  <cp:lastModifiedBy>Carlos</cp:lastModifiedBy>
  <cp:lastPrinted>2012-10-29T15:38:33Z</cp:lastPrinted>
  <dcterms:created xsi:type="dcterms:W3CDTF">2012-10-23T15:39:38Z</dcterms:created>
  <dcterms:modified xsi:type="dcterms:W3CDTF">2013-02-19T10:27:56Z</dcterms:modified>
</cp:coreProperties>
</file>