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Grupo pensiones\Simulador\"/>
    </mc:Choice>
  </mc:AlternateContent>
  <xr:revisionPtr revIDLastSave="0" documentId="8_{03649BA0-A11D-4B79-BAED-D61BE091E700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Hoja1" sheetId="1" r:id="rId1"/>
  </sheets>
  <definedNames>
    <definedName name="Ahorro_máximo_anual">Hoja1!$G$7</definedName>
    <definedName name="Año">Hoja1!$E$7</definedName>
    <definedName name="Años_cotizados">Hoja1!$G$10</definedName>
    <definedName name="Años_edad_jubilación">Hoja1!$D$20</definedName>
    <definedName name="Base">Hoja1!$D$13</definedName>
    <definedName name="Ingresos">Hoja1!$G$6</definedName>
    <definedName name="Meses_edad_jubilación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0" i="1" l="1"/>
  <c r="BC23" i="1"/>
  <c r="BB23" i="1"/>
  <c r="BC20" i="1"/>
  <c r="BB20" i="1"/>
  <c r="BA18" i="1"/>
  <c r="AZ19" i="1"/>
  <c r="AZ18" i="1"/>
  <c r="BA16" i="1"/>
  <c r="BA15" i="1"/>
  <c r="AZ8" i="1"/>
  <c r="BA8" i="1"/>
  <c r="BB8" i="1"/>
  <c r="AZ9" i="1"/>
  <c r="BA9" i="1"/>
  <c r="BB9" i="1"/>
  <c r="AZ10" i="1"/>
  <c r="BA10" i="1"/>
  <c r="BB10" i="1"/>
  <c r="AZ11" i="1"/>
  <c r="BA11" i="1"/>
  <c r="BB11" i="1"/>
  <c r="AZ12" i="1"/>
  <c r="BB12" i="1"/>
  <c r="BA7" i="1"/>
  <c r="BB7" i="1"/>
  <c r="AZ7" i="1"/>
  <c r="AS11" i="1"/>
  <c r="AN5" i="1"/>
  <c r="BA19" i="1" l="1"/>
  <c r="AT5" i="1"/>
  <c r="AT7" i="1" s="1"/>
  <c r="AT12" i="1"/>
  <c r="AT11" i="1"/>
  <c r="AT10" i="1"/>
  <c r="AN12" i="1"/>
  <c r="AM11" i="1"/>
  <c r="AT13" i="1" l="1"/>
  <c r="W55" i="1"/>
  <c r="W56" i="1" s="1"/>
  <c r="N7" i="1"/>
  <c r="M8" i="1" s="1"/>
  <c r="S48" i="1"/>
  <c r="W47" i="1"/>
  <c r="W46" i="1"/>
  <c r="W45" i="1"/>
  <c r="AT18" i="1" l="1"/>
  <c r="AT15" i="1"/>
  <c r="AT16" i="1"/>
  <c r="AT17" i="1" s="1"/>
  <c r="S49" i="1"/>
  <c r="R56" i="1" s="1"/>
  <c r="R57" i="1"/>
  <c r="AT19" i="1" l="1"/>
  <c r="AN11" i="1"/>
  <c r="E5" i="1"/>
  <c r="AN7" i="1" l="1"/>
  <c r="AQ8" i="1"/>
  <c r="AQ9" i="1" s="1"/>
  <c r="AQ10" i="1" s="1"/>
  <c r="AQ11" i="1" s="1"/>
  <c r="AN13" i="1" l="1"/>
  <c r="AN15" i="1" l="1"/>
  <c r="AN16" i="1"/>
  <c r="AN17" i="1" s="1"/>
  <c r="AN18" i="1"/>
  <c r="AN19" i="1" l="1"/>
  <c r="W54" i="1"/>
  <c r="R53" i="1" l="1"/>
  <c r="W40" i="1"/>
  <c r="S41" i="1"/>
  <c r="S47" i="1" l="1"/>
  <c r="AF11" i="1" l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F12" i="1" l="1"/>
  <c r="F11" i="1"/>
  <c r="R41" i="1" l="1"/>
  <c r="R37" i="1" l="1"/>
  <c r="R40" i="1"/>
  <c r="P5" i="1" l="1"/>
  <c r="P17" i="1"/>
  <c r="P6" i="1"/>
  <c r="P7" i="1"/>
  <c r="P8" i="1"/>
  <c r="P20" i="1"/>
  <c r="P21" i="1"/>
  <c r="P16" i="1"/>
  <c r="P18" i="1"/>
  <c r="P19" i="1"/>
  <c r="P9" i="1"/>
  <c r="P10" i="1"/>
  <c r="P22" i="1"/>
  <c r="P15" i="1"/>
  <c r="P11" i="1"/>
  <c r="P23" i="1"/>
  <c r="P24" i="1"/>
  <c r="P12" i="1"/>
  <c r="P13" i="1"/>
  <c r="P25" i="1"/>
  <c r="P14" i="1"/>
  <c r="AL9" i="1"/>
  <c r="AS9" i="1"/>
  <c r="AS20" i="1" s="1"/>
  <c r="Q11" i="1"/>
  <c r="Q19" i="1"/>
  <c r="Q10" i="1"/>
  <c r="Q12" i="1"/>
  <c r="Q20" i="1"/>
  <c r="Q5" i="1"/>
  <c r="Q13" i="1"/>
  <c r="Q21" i="1"/>
  <c r="Q18" i="1"/>
  <c r="Q6" i="1"/>
  <c r="Q14" i="1"/>
  <c r="Q22" i="1"/>
  <c r="Q7" i="1"/>
  <c r="Q15" i="1"/>
  <c r="Q23" i="1"/>
  <c r="Q8" i="1"/>
  <c r="Q16" i="1"/>
  <c r="Q24" i="1"/>
  <c r="Q9" i="1"/>
  <c r="Q17" i="1"/>
  <c r="Q25" i="1"/>
  <c r="S40" i="1"/>
  <c r="R42" i="1" s="1"/>
  <c r="AM9" i="1" l="1"/>
  <c r="AM20" i="1" s="1"/>
  <c r="AL20" i="1"/>
  <c r="V40" i="1"/>
  <c r="S42" i="1"/>
  <c r="D18" i="1" s="1"/>
  <c r="R43" i="1"/>
  <c r="R36" i="1"/>
  <c r="W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W5" i="1"/>
  <c r="V5" i="1"/>
  <c r="AT9" i="1" l="1"/>
  <c r="AT20" i="1" s="1"/>
  <c r="R44" i="1"/>
  <c r="AN9" i="1"/>
  <c r="AN20" i="1" s="1"/>
  <c r="AN21" i="1" s="1"/>
  <c r="AN23" i="1" s="1"/>
  <c r="S43" i="1"/>
  <c r="D19" i="1"/>
  <c r="V41" i="1"/>
  <c r="R48" i="1"/>
  <c r="R49" i="1"/>
  <c r="E18" i="1"/>
  <c r="S44" i="1"/>
  <c r="S50" i="1"/>
  <c r="R47" i="1"/>
  <c r="S51" i="1"/>
  <c r="AT21" i="1" l="1"/>
  <c r="AT23" i="1" s="1"/>
  <c r="AN22" i="1"/>
  <c r="S46" i="1"/>
  <c r="S45" i="1"/>
  <c r="R45" i="1"/>
  <c r="T45" i="1" s="1"/>
  <c r="R46" i="1"/>
  <c r="T44" i="1"/>
  <c r="AU21" i="1" l="1"/>
  <c r="AU23" i="1" s="1"/>
  <c r="AT22" i="1"/>
  <c r="AU22" i="1" s="1"/>
  <c r="W51" i="1"/>
  <c r="T46" i="1"/>
  <c r="R55" i="1" s="1"/>
  <c r="Q55" i="1" l="1"/>
  <c r="T54" i="1" s="1"/>
  <c r="E19" i="1"/>
  <c r="B23" i="1" s="1"/>
  <c r="W41" i="1" l="1"/>
  <c r="T55" i="1"/>
  <c r="Y55" i="1" l="1"/>
  <c r="G18" i="1" s="1"/>
  <c r="R50" i="1" l="1"/>
  <c r="R51" i="1" s="1"/>
  <c r="S52" i="1" s="1"/>
  <c r="G20" i="1" s="1"/>
  <c r="AL5" i="1"/>
  <c r="AL7" i="1" s="1"/>
  <c r="H18" i="1"/>
  <c r="AM5" i="1"/>
  <c r="AM7" i="1" s="1"/>
  <c r="AS5" i="1"/>
  <c r="AS10" i="1" s="1"/>
  <c r="AS12" i="1" s="1"/>
  <c r="AL10" i="1" l="1"/>
  <c r="AL12" i="1" s="1"/>
  <c r="G21" i="1"/>
  <c r="H21" i="1" s="1"/>
  <c r="R52" i="1"/>
  <c r="AS7" i="1"/>
  <c r="AM10" i="1" l="1"/>
  <c r="AS13" i="1"/>
  <c r="AS18" i="1" s="1"/>
  <c r="AL13" i="1"/>
  <c r="AM12" i="1"/>
  <c r="AM13" i="1" s="1"/>
  <c r="AS16" i="1" l="1"/>
  <c r="AS17" i="1" s="1"/>
  <c r="AS15" i="1"/>
  <c r="AM16" i="1"/>
  <c r="AM17" i="1" s="1"/>
  <c r="AM18" i="1"/>
  <c r="AL16" i="1"/>
  <c r="AL17" i="1" s="1"/>
  <c r="AL18" i="1"/>
  <c r="AL15" i="1"/>
  <c r="AM15" i="1"/>
  <c r="AS19" i="1" l="1"/>
  <c r="AS21" i="1" s="1"/>
  <c r="AS22" i="1" s="1"/>
  <c r="AL19" i="1"/>
  <c r="AM19" i="1"/>
  <c r="AS23" i="1" l="1"/>
  <c r="AM21" i="1"/>
  <c r="AM23" i="1" s="1"/>
  <c r="AL21" i="1"/>
  <c r="AL23" i="1" s="1"/>
  <c r="G19" i="1" s="1"/>
  <c r="AM22" i="1" l="1"/>
  <c r="AL22" i="1"/>
</calcChain>
</file>

<file path=xl/sharedStrings.xml><?xml version="1.0" encoding="utf-8"?>
<sst xmlns="http://schemas.openxmlformats.org/spreadsheetml/2006/main" count="189" uniqueCount="149">
  <si>
    <t>Después de 1/1/1985</t>
  </si>
  <si>
    <t>Grupo</t>
  </si>
  <si>
    <t>Haber regulador</t>
  </si>
  <si>
    <t>A1</t>
  </si>
  <si>
    <t>A2</t>
  </si>
  <si>
    <t>B</t>
  </si>
  <si>
    <t>C1</t>
  </si>
  <si>
    <t>C2</t>
  </si>
  <si>
    <t>E</t>
  </si>
  <si>
    <t>Antes de 1/1/1985</t>
  </si>
  <si>
    <t>Al amparo del Título 1 de la Ley de Clases Pasivas</t>
  </si>
  <si>
    <t>Administración civil o militar del Estado</t>
  </si>
  <si>
    <t>Índice</t>
  </si>
  <si>
    <t>DATOS PERSONALES Y LABORALES</t>
  </si>
  <si>
    <t>RESUMEN DE DATOS PARA EL PERIODO TRANSITORIO</t>
  </si>
  <si>
    <t>Sexo</t>
  </si>
  <si>
    <t>€ actuales</t>
  </si>
  <si>
    <t>Edad</t>
  </si>
  <si>
    <t>H</t>
  </si>
  <si>
    <t>M</t>
  </si>
  <si>
    <t>Año</t>
  </si>
  <si>
    <t>Años B.Reg.</t>
  </si>
  <si>
    <t>Edad Jub. normal</t>
  </si>
  <si>
    <t>Años cot. Jub. 65</t>
  </si>
  <si>
    <t>Límite 1 meses cot.</t>
  </si>
  <si>
    <t>%</t>
  </si>
  <si>
    <t>Límite 2 meses cot.</t>
  </si>
  <si>
    <t>Día</t>
  </si>
  <si>
    <t>Mes</t>
  </si>
  <si>
    <t>Fecha de nacimiento</t>
  </si>
  <si>
    <t>Ahorro máximo anual (€)</t>
  </si>
  <si>
    <t>Años</t>
  </si>
  <si>
    <t>Meses</t>
  </si>
  <si>
    <t>FACTOR DE SOSTENIBILIDAD</t>
  </si>
  <si>
    <t>Factor</t>
  </si>
  <si>
    <t>Esp vida media 67</t>
  </si>
  <si>
    <t>DATOS SUPUESTOS E HIPÓTESIS</t>
  </si>
  <si>
    <t>Rentabilidad del producto de ahorro</t>
  </si>
  <si>
    <t>IPC</t>
  </si>
  <si>
    <t>% deseado pensión pública y privada sobre ingresos anuales</t>
  </si>
  <si>
    <t>RESULTADOS INTERMEDIOS</t>
  </si>
  <si>
    <t>Fecha actual</t>
  </si>
  <si>
    <t>Fecha de jubilación</t>
  </si>
  <si>
    <t>Ingresos anuales previos a la jubilación (€ de la jubilación)</t>
  </si>
  <si>
    <t>Pensión mínima anual en la jubilación (€ de la jubilación)</t>
  </si>
  <si>
    <t>Actualizar anualmente</t>
  </si>
  <si>
    <t>Pensión máxima anual en la jubilación (€ de la jubilación)</t>
  </si>
  <si>
    <t>Pensión anual adicional necesaria (€ actuales)</t>
  </si>
  <si>
    <t>nº de aportaciones</t>
  </si>
  <si>
    <t>Fondo privado que es necesario constituir (€ de la jubilación)</t>
  </si>
  <si>
    <t>Días irregulares</t>
  </si>
  <si>
    <t>Aportación anual necesaria constante para constituirlo (€ actuales)</t>
  </si>
  <si>
    <t>si es creciente</t>
  </si>
  <si>
    <t>Actualizar cada tres años con las nuevas proyecciones de población a largo plazo desde la hoja "Tablas y cálculo VAA"</t>
  </si>
  <si>
    <t>Magistrados, jueces, fiscales y secretarios judiciales</t>
  </si>
  <si>
    <t>EDAD DE JUBILACIÓN FORZOSA</t>
  </si>
  <si>
    <t>Edad de Jubilación forzosa (años)</t>
  </si>
  <si>
    <t>Cuerpos docentes universitarios</t>
  </si>
  <si>
    <t>HABER REGULADOR</t>
  </si>
  <si>
    <t>Grupo especial de edad de jubilación forzosa</t>
  </si>
  <si>
    <t>ESCALA</t>
  </si>
  <si>
    <t>Años cotizados a la jubilación última categoría</t>
  </si>
  <si>
    <t>Tiempo de servicio hasta la actualidad</t>
  </si>
  <si>
    <t>Tasa sustitución</t>
  </si>
  <si>
    <t>Tiempo servicio actual</t>
  </si>
  <si>
    <t>Edad actual</t>
  </si>
  <si>
    <t>Edad 30 años de servicio</t>
  </si>
  <si>
    <t>Edad de jubilación mínima</t>
  </si>
  <si>
    <t>RESULTADOS SEGÚN EDAD DE JUBILACIÓN PREVISTA</t>
  </si>
  <si>
    <t>Edad de jubilación prevista</t>
  </si>
  <si>
    <t>Información en el Ministerio</t>
  </si>
  <si>
    <t>Años tercera categoría</t>
  </si>
  <si>
    <t>Años segunda categoría</t>
  </si>
  <si>
    <t>Aportación anual necesaria a un plan de ahorro</t>
  </si>
  <si>
    <t>Grupo/Subgrupo actual</t>
  </si>
  <si>
    <t>Grupo/Subgrupo anterior</t>
  </si>
  <si>
    <t>Consultar supuestos</t>
  </si>
  <si>
    <t>Tiempo servicio a la edad de jubilación forzosa</t>
  </si>
  <si>
    <t>Especifique años y meses completos de servicio en cada categoría empezando por la más reciente</t>
  </si>
  <si>
    <t>% cubierto</t>
  </si>
  <si>
    <t>Otro</t>
  </si>
  <si>
    <t>Revalorización de las pensiones</t>
  </si>
  <si>
    <t>Registradores de la Propiedad antes 1-1-2015</t>
  </si>
  <si>
    <t>Tiempo servicio a los 65</t>
  </si>
  <si>
    <t>Porcentaje adicional</t>
  </si>
  <si>
    <t>Mínima</t>
  </si>
  <si>
    <t>Efectiva</t>
  </si>
  <si>
    <t>Máxima</t>
  </si>
  <si>
    <t>Teórica</t>
  </si>
  <si>
    <t>Dos</t>
  </si>
  <si>
    <t>Tres</t>
  </si>
  <si>
    <t>Cuatro o más</t>
  </si>
  <si>
    <t>Complemento que se reconoce</t>
  </si>
  <si>
    <t>Efectiva con complemento</t>
  </si>
  <si>
    <t>Último sal.</t>
  </si>
  <si>
    <t>Ingresos brutos</t>
  </si>
  <si>
    <t>TABLA TRAMOS IRPF</t>
  </si>
  <si>
    <t>de</t>
  </si>
  <si>
    <t>a</t>
  </si>
  <si>
    <t>Cuota</t>
  </si>
  <si>
    <t>Tipo marginal</t>
  </si>
  <si>
    <t>TOTAL Ingresos</t>
  </si>
  <si>
    <t>MINIMO PERSONAL</t>
  </si>
  <si>
    <t>GENERAL + RTOS TRABAJO</t>
  </si>
  <si>
    <t>Cotización SS</t>
  </si>
  <si>
    <t>TOTAL DEDUCCIONES</t>
  </si>
  <si>
    <t>BASE IRPF</t>
  </si>
  <si>
    <t>Datos cálculo de la retención</t>
  </si>
  <si>
    <t>Mínimo personal</t>
  </si>
  <si>
    <t>TIPO marginal IRPF</t>
  </si>
  <si>
    <t>Base</t>
  </si>
  <si>
    <t>Tramo inferior</t>
  </si>
  <si>
    <t>Adicional 65+</t>
  </si>
  <si>
    <t>Resto</t>
  </si>
  <si>
    <t>Por rendimiento del trabajo</t>
  </si>
  <si>
    <t>Cuota tramo inferior</t>
  </si>
  <si>
    <t>Cuota resto</t>
  </si>
  <si>
    <t>Pensionista</t>
  </si>
  <si>
    <t>Activo</t>
  </si>
  <si>
    <t>Gasto deducible general</t>
  </si>
  <si>
    <t>Total cuota</t>
  </si>
  <si>
    <t>Ingresos netos</t>
  </si>
  <si>
    <t>Límite cuota</t>
  </si>
  <si>
    <t>Tipo medio</t>
  </si>
  <si>
    <t>Mínimo excluido</t>
  </si>
  <si>
    <t>Pensión anual deseada en la jubilación (bruta)</t>
  </si>
  <si>
    <t>Pensión pública probable anual (bruta)</t>
  </si>
  <si>
    <t>Pensión pública mensual estimada (netax14)</t>
  </si>
  <si>
    <t>Máxima (66 o más)</t>
  </si>
  <si>
    <t>Máxima (65 o menos)</t>
  </si>
  <si>
    <t>con % ad.</t>
  </si>
  <si>
    <t>sin % ad.</t>
  </si>
  <si>
    <t>no aplicado</t>
  </si>
  <si>
    <t>Real % adi.</t>
  </si>
  <si>
    <t>Factor de sostenibilidad</t>
  </si>
  <si>
    <t>=BUSCARV(AÑO(R37);AE4:AF55;2)</t>
  </si>
  <si>
    <t>Pensión pública y privada anual (bruta)</t>
  </si>
  <si>
    <t>Valores actuales actuariales al 3% considerando la renta creciente al 2% y fraccionaria mensualmente</t>
  </si>
  <si>
    <t>VALOR ACTUAL ACTUARIAL AL 3%</t>
  </si>
  <si>
    <t>Complemento brecha de género</t>
  </si>
  <si>
    <t>Uno</t>
  </si>
  <si>
    <t>Ninguno</t>
  </si>
  <si>
    <t>2023 sin deflactar</t>
  </si>
  <si>
    <t>Comunitat Valenciana</t>
  </si>
  <si>
    <t>En adelante</t>
  </si>
  <si>
    <t>respecte base IRPF</t>
  </si>
  <si>
    <t>2023 deflactada</t>
  </si>
  <si>
    <t>CCAA</t>
  </si>
  <si>
    <t>TARIFA IRPF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</si>
</sst>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164" formatCode="0.0000"/>
    <numFmt numFmtId="165" formatCode="0.000"/>
    <numFmt numFmtId="166" formatCode="0.0%"/>
    <numFmt numFmtId="167" formatCode="0.000%"/>
    <numFmt numFmtId="168" formatCode="[$-C0A]d\-mmm\-yy;@"/>
    <numFmt numFmtId="169" formatCode="#,##0.00\ &quot;€&quot;"/>
    <numFmt numFmtId="170" formatCode="0.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indexed="8"/>
      <name val="Calibri"/>
      <family val="2"/>
    </font>
    <font>
      <b/>
      <sz val="11"/>
      <color indexed="9"/>
      <name val="Arial"/>
      <family val="2"/>
    </font>
    <font>
      <b/>
      <sz val="12"/>
      <color indexed="10"/>
      <name val="Calibr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b/>
      <sz val="12"/>
      <color rgb="FFFF0000"/>
      <name val="Calibri"/>
      <family val="2"/>
    </font>
    <font>
      <b/>
      <sz val="12"/>
      <color indexed="19"/>
      <name val="Calibri"/>
      <family val="2"/>
    </font>
    <font>
      <b/>
      <sz val="12"/>
      <name val="Calibri"/>
      <family val="2"/>
    </font>
    <font>
      <b/>
      <sz val="12"/>
      <color indexed="51"/>
      <name val="Calibri"/>
      <family val="2"/>
    </font>
    <font>
      <b/>
      <sz val="12"/>
      <color theme="4" tint="-0.249977111117893"/>
      <name val="Calibri"/>
      <family val="2"/>
    </font>
    <font>
      <b/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3" tint="0.39997558519241921"/>
      <name val="Calibri"/>
      <family val="2"/>
    </font>
    <font>
      <sz val="11"/>
      <color theme="4" tint="-0.249977111117893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b/>
      <sz val="12"/>
      <color theme="3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6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4" fillId="2" borderId="0" xfId="0" applyNumberFormat="1" applyFont="1" applyFill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165" fontId="4" fillId="2" borderId="4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0" fontId="4" fillId="2" borderId="4" xfId="1" applyNumberFormat="1" applyFont="1" applyFill="1" applyBorder="1" applyAlignment="1">
      <alignment horizontal="center"/>
    </xf>
    <xf numFmtId="10" fontId="4" fillId="2" borderId="4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0" fontId="6" fillId="2" borderId="4" xfId="0" applyFont="1" applyFill="1" applyBorder="1" applyAlignment="1">
      <alignment horizontal="left"/>
    </xf>
    <xf numFmtId="167" fontId="4" fillId="2" borderId="4" xfId="1" applyNumberFormat="1" applyFont="1" applyFill="1" applyBorder="1" applyAlignment="1">
      <alignment horizontal="center"/>
    </xf>
    <xf numFmtId="8" fontId="4" fillId="2" borderId="0" xfId="0" applyNumberFormat="1" applyFont="1" applyFill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3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0" fontId="4" fillId="2" borderId="0" xfId="1" applyNumberFormat="1" applyFont="1" applyFill="1" applyAlignment="1" applyProtection="1">
      <alignment horizontal="center"/>
    </xf>
    <xf numFmtId="0" fontId="4" fillId="2" borderId="0" xfId="0" quotePrefix="1" applyFont="1" applyFill="1" applyAlignment="1">
      <alignment horizontal="right"/>
    </xf>
    <xf numFmtId="168" fontId="4" fillId="2" borderId="0" xfId="0" applyNumberFormat="1" applyFont="1" applyFill="1" applyAlignment="1">
      <alignment horizontal="center"/>
    </xf>
    <xf numFmtId="1" fontId="12" fillId="2" borderId="0" xfId="0" applyNumberFormat="1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2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4" fillId="2" borderId="0" xfId="0" applyFont="1" applyFill="1"/>
    <xf numFmtId="2" fontId="9" fillId="2" borderId="0" xfId="0" applyNumberFormat="1" applyFont="1" applyFill="1" applyAlignment="1">
      <alignment horizontal="center"/>
    </xf>
    <xf numFmtId="168" fontId="4" fillId="2" borderId="0" xfId="0" applyNumberFormat="1" applyFont="1" applyFill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5" borderId="10" xfId="0" applyFont="1" applyFill="1" applyBorder="1"/>
    <xf numFmtId="0" fontId="7" fillId="5" borderId="0" xfId="0" applyFont="1" applyFill="1"/>
    <xf numFmtId="166" fontId="7" fillId="5" borderId="0" xfId="1" applyNumberFormat="1" applyFont="1" applyFill="1" applyBorder="1"/>
    <xf numFmtId="166" fontId="7" fillId="5" borderId="11" xfId="1" applyNumberFormat="1" applyFont="1" applyFill="1" applyBorder="1"/>
    <xf numFmtId="1" fontId="7" fillId="5" borderId="0" xfId="0" applyNumberFormat="1" applyFont="1" applyFill="1" applyAlignment="1" applyProtection="1">
      <alignment horizontal="center"/>
      <protection locked="0"/>
    </xf>
    <xf numFmtId="0" fontId="7" fillId="5" borderId="10" xfId="0" applyFont="1" applyFill="1" applyBorder="1" applyAlignment="1">
      <alignment horizontal="right"/>
    </xf>
    <xf numFmtId="0" fontId="0" fillId="5" borderId="10" xfId="0" applyFill="1" applyBorder="1"/>
    <xf numFmtId="0" fontId="0" fillId="5" borderId="0" xfId="0" applyFill="1"/>
    <xf numFmtId="0" fontId="0" fillId="5" borderId="11" xfId="0" applyFill="1" applyBorder="1"/>
    <xf numFmtId="0" fontId="7" fillId="5" borderId="0" xfId="0" applyFont="1" applyFill="1" applyAlignment="1">
      <alignment horizontal="left" vertical="center"/>
    </xf>
    <xf numFmtId="0" fontId="8" fillId="5" borderId="0" xfId="0" applyFont="1" applyFill="1"/>
    <xf numFmtId="0" fontId="3" fillId="5" borderId="0" xfId="0" applyFont="1" applyFill="1"/>
    <xf numFmtId="0" fontId="3" fillId="5" borderId="11" xfId="0" applyFont="1" applyFill="1" applyBorder="1"/>
    <xf numFmtId="0" fontId="7" fillId="6" borderId="10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right" vertical="center"/>
    </xf>
    <xf numFmtId="0" fontId="7" fillId="6" borderId="10" xfId="0" applyFont="1" applyFill="1" applyBorder="1" applyAlignment="1">
      <alignment horizontal="right" vertical="center"/>
    </xf>
    <xf numFmtId="0" fontId="7" fillId="6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7" fillId="6" borderId="12" xfId="0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right" vertical="center"/>
    </xf>
    <xf numFmtId="166" fontId="15" fillId="5" borderId="11" xfId="1" applyNumberFormat="1" applyFont="1" applyFill="1" applyBorder="1" applyProtection="1"/>
    <xf numFmtId="0" fontId="8" fillId="5" borderId="0" xfId="0" applyFont="1" applyFill="1" applyProtection="1">
      <protection locked="0"/>
    </xf>
    <xf numFmtId="0" fontId="7" fillId="6" borderId="10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7" borderId="4" xfId="0" applyFont="1" applyFill="1" applyBorder="1" applyAlignment="1" applyProtection="1">
      <alignment horizontal="center"/>
      <protection locked="0"/>
    </xf>
    <xf numFmtId="3" fontId="7" fillId="7" borderId="4" xfId="0" applyNumberFormat="1" applyFont="1" applyFill="1" applyBorder="1" applyAlignment="1" applyProtection="1">
      <alignment horizontal="center"/>
      <protection locked="0"/>
    </xf>
    <xf numFmtId="4" fontId="7" fillId="7" borderId="4" xfId="0" applyNumberFormat="1" applyFont="1" applyFill="1" applyBorder="1" applyAlignment="1" applyProtection="1">
      <alignment horizontal="center"/>
      <protection locked="0"/>
    </xf>
    <xf numFmtId="0" fontId="7" fillId="7" borderId="15" xfId="0" applyFont="1" applyFill="1" applyBorder="1" applyAlignment="1" applyProtection="1">
      <alignment horizontal="center"/>
      <protection locked="0"/>
    </xf>
    <xf numFmtId="4" fontId="17" fillId="8" borderId="0" xfId="0" applyNumberFormat="1" applyFont="1" applyFill="1" applyAlignment="1">
      <alignment horizontal="center"/>
    </xf>
    <xf numFmtId="10" fontId="17" fillId="8" borderId="11" xfId="1" applyNumberFormat="1" applyFont="1" applyFill="1" applyBorder="1" applyAlignment="1" applyProtection="1">
      <alignment horizontal="center"/>
    </xf>
    <xf numFmtId="4" fontId="17" fillId="8" borderId="13" xfId="0" applyNumberFormat="1" applyFont="1" applyFill="1" applyBorder="1" applyAlignment="1">
      <alignment horizontal="center"/>
    </xf>
    <xf numFmtId="10" fontId="17" fillId="8" borderId="14" xfId="1" applyNumberFormat="1" applyFont="1" applyFill="1" applyBorder="1" applyAlignment="1" applyProtection="1">
      <alignment horizontal="center"/>
    </xf>
    <xf numFmtId="1" fontId="17" fillId="8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14" fillId="2" borderId="4" xfId="0" applyFont="1" applyFill="1" applyBorder="1"/>
    <xf numFmtId="167" fontId="18" fillId="2" borderId="4" xfId="1" applyNumberFormat="1" applyFont="1" applyFill="1" applyBorder="1" applyAlignment="1">
      <alignment horizontal="center"/>
    </xf>
    <xf numFmtId="167" fontId="12" fillId="2" borderId="4" xfId="1" applyNumberFormat="1" applyFont="1" applyFill="1" applyBorder="1" applyAlignment="1">
      <alignment horizontal="center"/>
    </xf>
    <xf numFmtId="2" fontId="19" fillId="2" borderId="0" xfId="0" applyNumberFormat="1" applyFont="1" applyFill="1" applyAlignment="1">
      <alignment horizontal="center"/>
    </xf>
    <xf numFmtId="2" fontId="4" fillId="2" borderId="0" xfId="0" applyNumberFormat="1" applyFont="1" applyFill="1"/>
    <xf numFmtId="0" fontId="0" fillId="0" borderId="0" xfId="0" applyAlignment="1">
      <alignment horizontal="right"/>
    </xf>
    <xf numFmtId="10" fontId="4" fillId="2" borderId="0" xfId="1" applyNumberFormat="1" applyFont="1" applyFill="1"/>
    <xf numFmtId="10" fontId="4" fillId="2" borderId="4" xfId="1" applyNumberFormat="1" applyFont="1" applyFill="1" applyBorder="1"/>
    <xf numFmtId="0" fontId="2" fillId="0" borderId="0" xfId="0" applyFont="1" applyAlignment="1">
      <alignment horizontal="right"/>
    </xf>
    <xf numFmtId="4" fontId="21" fillId="2" borderId="0" xfId="0" applyNumberFormat="1" applyFont="1" applyFill="1" applyAlignment="1">
      <alignment horizontal="center"/>
    </xf>
    <xf numFmtId="0" fontId="22" fillId="0" borderId="0" xfId="0" applyFont="1"/>
    <xf numFmtId="0" fontId="4" fillId="9" borderId="0" xfId="0" applyFont="1" applyFill="1"/>
    <xf numFmtId="169" fontId="0" fillId="9" borderId="0" xfId="0" applyNumberFormat="1" applyFill="1"/>
    <xf numFmtId="4" fontId="24" fillId="10" borderId="17" xfId="0" applyNumberFormat="1" applyFont="1" applyFill="1" applyBorder="1"/>
    <xf numFmtId="169" fontId="23" fillId="10" borderId="20" xfId="0" applyNumberFormat="1" applyFont="1" applyFill="1" applyBorder="1"/>
    <xf numFmtId="169" fontId="23" fillId="10" borderId="4" xfId="0" applyNumberFormat="1" applyFont="1" applyFill="1" applyBorder="1"/>
    <xf numFmtId="169" fontId="25" fillId="9" borderId="20" xfId="0" applyNumberFormat="1" applyFont="1" applyFill="1" applyBorder="1" applyAlignment="1">
      <alignment horizontal="center"/>
    </xf>
    <xf numFmtId="169" fontId="25" fillId="9" borderId="4" xfId="0" applyNumberFormat="1" applyFont="1" applyFill="1" applyBorder="1" applyAlignment="1">
      <alignment horizontal="center"/>
    </xf>
    <xf numFmtId="0" fontId="25" fillId="9" borderId="15" xfId="0" applyFont="1" applyFill="1" applyBorder="1" applyAlignment="1">
      <alignment horizontal="center"/>
    </xf>
    <xf numFmtId="169" fontId="26" fillId="10" borderId="21" xfId="0" applyNumberFormat="1" applyFont="1" applyFill="1" applyBorder="1"/>
    <xf numFmtId="169" fontId="26" fillId="10" borderId="22" xfId="0" applyNumberFormat="1" applyFont="1" applyFill="1" applyBorder="1"/>
    <xf numFmtId="4" fontId="24" fillId="9" borderId="20" xfId="0" applyNumberFormat="1" applyFont="1" applyFill="1" applyBorder="1"/>
    <xf numFmtId="4" fontId="24" fillId="9" borderId="4" xfId="0" applyNumberFormat="1" applyFont="1" applyFill="1" applyBorder="1"/>
    <xf numFmtId="10" fontId="24" fillId="9" borderId="15" xfId="0" applyNumberFormat="1" applyFont="1" applyFill="1" applyBorder="1"/>
    <xf numFmtId="0" fontId="4" fillId="10" borderId="0" xfId="0" applyFont="1" applyFill="1"/>
    <xf numFmtId="169" fontId="24" fillId="10" borderId="17" xfId="0" applyNumberFormat="1" applyFont="1" applyFill="1" applyBorder="1"/>
    <xf numFmtId="169" fontId="24" fillId="10" borderId="18" xfId="0" applyNumberFormat="1" applyFont="1" applyFill="1" applyBorder="1"/>
    <xf numFmtId="10" fontId="27" fillId="10" borderId="19" xfId="0" applyNumberFormat="1" applyFont="1" applyFill="1" applyBorder="1"/>
    <xf numFmtId="4" fontId="24" fillId="9" borderId="23" xfId="0" applyNumberFormat="1" applyFont="1" applyFill="1" applyBorder="1"/>
    <xf numFmtId="4" fontId="24" fillId="9" borderId="16" xfId="0" applyNumberFormat="1" applyFont="1" applyFill="1" applyBorder="1"/>
    <xf numFmtId="10" fontId="24" fillId="9" borderId="24" xfId="0" applyNumberFormat="1" applyFont="1" applyFill="1" applyBorder="1"/>
    <xf numFmtId="0" fontId="0" fillId="9" borderId="0" xfId="0" applyFill="1"/>
    <xf numFmtId="169" fontId="24" fillId="10" borderId="25" xfId="0" applyNumberFormat="1" applyFont="1" applyFill="1" applyBorder="1" applyAlignment="1">
      <alignment horizontal="left"/>
    </xf>
    <xf numFmtId="169" fontId="24" fillId="10" borderId="26" xfId="0" applyNumberFormat="1" applyFont="1" applyFill="1" applyBorder="1" applyAlignment="1">
      <alignment horizontal="left"/>
    </xf>
    <xf numFmtId="0" fontId="2" fillId="9" borderId="0" xfId="0" applyFont="1" applyFill="1"/>
    <xf numFmtId="0" fontId="0" fillId="9" borderId="0" xfId="0" applyFill="1" applyAlignment="1">
      <alignment horizontal="right"/>
    </xf>
    <xf numFmtId="169" fontId="23" fillId="10" borderId="28" xfId="0" applyNumberFormat="1" applyFont="1" applyFill="1" applyBorder="1" applyAlignment="1">
      <alignment horizontal="left"/>
    </xf>
    <xf numFmtId="169" fontId="23" fillId="10" borderId="29" xfId="0" applyNumberFormat="1" applyFont="1" applyFill="1" applyBorder="1" applyAlignment="1">
      <alignment horizontal="left"/>
    </xf>
    <xf numFmtId="169" fontId="23" fillId="10" borderId="30" xfId="0" applyNumberFormat="1" applyFont="1" applyFill="1" applyBorder="1" applyAlignment="1">
      <alignment horizontal="left"/>
    </xf>
    <xf numFmtId="169" fontId="23" fillId="10" borderId="2" xfId="0" applyNumberFormat="1" applyFont="1" applyFill="1" applyBorder="1" applyAlignment="1">
      <alignment horizontal="left"/>
    </xf>
    <xf numFmtId="170" fontId="0" fillId="9" borderId="0" xfId="0" applyNumberFormat="1" applyFill="1"/>
    <xf numFmtId="0" fontId="0" fillId="9" borderId="0" xfId="0" applyFill="1" applyAlignment="1">
      <alignment horizontal="center"/>
    </xf>
    <xf numFmtId="0" fontId="2" fillId="9" borderId="0" xfId="0" applyFont="1" applyFill="1" applyAlignment="1">
      <alignment horizontal="right"/>
    </xf>
    <xf numFmtId="10" fontId="0" fillId="9" borderId="0" xfId="0" applyNumberFormat="1" applyFill="1"/>
    <xf numFmtId="10" fontId="0" fillId="9" borderId="0" xfId="0" applyNumberFormat="1" applyFill="1" applyAlignment="1">
      <alignment horizontal="right"/>
    </xf>
    <xf numFmtId="169" fontId="26" fillId="10" borderId="31" xfId="0" applyNumberFormat="1" applyFont="1" applyFill="1" applyBorder="1"/>
    <xf numFmtId="169" fontId="26" fillId="10" borderId="32" xfId="0" applyNumberFormat="1" applyFont="1" applyFill="1" applyBorder="1"/>
    <xf numFmtId="4" fontId="26" fillId="10" borderId="17" xfId="0" applyNumberFormat="1" applyFont="1" applyFill="1" applyBorder="1"/>
    <xf numFmtId="9" fontId="0" fillId="9" borderId="0" xfId="0" applyNumberFormat="1" applyFill="1"/>
    <xf numFmtId="9" fontId="0" fillId="9" borderId="0" xfId="0" applyNumberFormat="1" applyFill="1" applyAlignment="1">
      <alignment horizontal="right"/>
    </xf>
    <xf numFmtId="0" fontId="10" fillId="2" borderId="0" xfId="0" applyFont="1" applyFill="1" applyAlignment="1">
      <alignment horizontal="left"/>
    </xf>
    <xf numFmtId="0" fontId="28" fillId="5" borderId="0" xfId="0" applyFont="1" applyFill="1" applyAlignment="1">
      <alignment horizontal="right"/>
    </xf>
    <xf numFmtId="0" fontId="28" fillId="5" borderId="0" xfId="0" applyFont="1" applyFill="1" applyAlignment="1" applyProtection="1">
      <alignment horizontal="center"/>
      <protection locked="0"/>
    </xf>
    <xf numFmtId="0" fontId="4" fillId="2" borderId="0" xfId="0" quotePrefix="1" applyFont="1" applyFill="1"/>
    <xf numFmtId="0" fontId="4" fillId="2" borderId="0" xfId="0" quotePrefix="1" applyFont="1" applyFill="1" applyAlignment="1">
      <alignment horizontal="center"/>
    </xf>
    <xf numFmtId="2" fontId="20" fillId="2" borderId="0" xfId="1" applyNumberFormat="1" applyFont="1" applyFill="1" applyAlignment="1">
      <alignment horizontal="center"/>
    </xf>
    <xf numFmtId="2" fontId="29" fillId="2" borderId="4" xfId="0" applyNumberFormat="1" applyFont="1" applyFill="1" applyBorder="1" applyAlignment="1">
      <alignment horizontal="center"/>
    </xf>
    <xf numFmtId="0" fontId="30" fillId="11" borderId="33" xfId="0" applyFont="1" applyFill="1" applyBorder="1" applyAlignment="1">
      <alignment horizontal="right" vertical="top" wrapText="1"/>
    </xf>
    <xf numFmtId="4" fontId="30" fillId="11" borderId="33" xfId="0" applyNumberFormat="1" applyFont="1" applyFill="1" applyBorder="1" applyAlignment="1">
      <alignment horizontal="right" vertical="top" wrapText="1"/>
    </xf>
    <xf numFmtId="166" fontId="30" fillId="11" borderId="33" xfId="1" applyNumberFormat="1" applyFont="1" applyFill="1" applyBorder="1" applyAlignment="1">
      <alignment horizontal="center" vertical="top" wrapText="1"/>
    </xf>
    <xf numFmtId="10" fontId="4" fillId="2" borderId="0" xfId="0" applyNumberFormat="1" applyFont="1" applyFill="1"/>
    <xf numFmtId="166" fontId="4" fillId="2" borderId="0" xfId="1" applyNumberFormat="1" applyFont="1" applyFill="1"/>
    <xf numFmtId="0" fontId="16" fillId="2" borderId="0" xfId="2" applyFill="1" applyBorder="1" applyAlignment="1"/>
    <xf numFmtId="4" fontId="31" fillId="2" borderId="0" xfId="0" applyNumberFormat="1" applyFont="1" applyFill="1" applyAlignment="1">
      <alignment horizontal="center"/>
    </xf>
    <xf numFmtId="2" fontId="31" fillId="2" borderId="0" xfId="0" applyNumberFormat="1" applyFont="1" applyFill="1"/>
    <xf numFmtId="4" fontId="0" fillId="9" borderId="0" xfId="0" applyNumberFormat="1" applyFill="1"/>
    <xf numFmtId="4" fontId="0" fillId="9" borderId="0" xfId="0" applyNumberFormat="1" applyFill="1" applyAlignment="1">
      <alignment horizontal="right"/>
    </xf>
    <xf numFmtId="169" fontId="25" fillId="9" borderId="17" xfId="0" applyNumberFormat="1" applyFont="1" applyFill="1" applyBorder="1" applyAlignment="1">
      <alignment horizontal="center"/>
    </xf>
    <xf numFmtId="169" fontId="25" fillId="9" borderId="18" xfId="0" applyNumberFormat="1" applyFont="1" applyFill="1" applyBorder="1" applyAlignment="1">
      <alignment horizontal="center"/>
    </xf>
    <xf numFmtId="169" fontId="25" fillId="9" borderId="19" xfId="0" applyNumberFormat="1" applyFont="1" applyFill="1" applyBorder="1" applyAlignment="1">
      <alignment horizontal="center"/>
    </xf>
    <xf numFmtId="0" fontId="2" fillId="9" borderId="27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169" fontId="23" fillId="10" borderId="17" xfId="0" applyNumberFormat="1" applyFont="1" applyFill="1" applyBorder="1"/>
    <xf numFmtId="169" fontId="23" fillId="10" borderId="18" xfId="0" applyNumberFormat="1" applyFont="1" applyFill="1" applyBorder="1"/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6" borderId="10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6" fillId="2" borderId="0" xfId="2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11" xfId="0" applyBorder="1"/>
    <xf numFmtId="0" fontId="5" fillId="3" borderId="1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1">
    <dxf>
      <font>
        <color theme="6" tint="0.79998168889431442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152400</xdr:rowOff>
        </xdr:from>
        <xdr:to>
          <xdr:col>3</xdr:col>
          <xdr:colOff>304800</xdr:colOff>
          <xdr:row>3</xdr:row>
          <xdr:rowOff>190500</xdr:rowOff>
        </xdr:to>
        <xdr:sp macro="" textlink="">
          <xdr:nvSpPr>
            <xdr:cNvPr id="1027" name="OptionButton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</xdr:row>
          <xdr:rowOff>152400</xdr:rowOff>
        </xdr:from>
        <xdr:to>
          <xdr:col>5</xdr:col>
          <xdr:colOff>12700</xdr:colOff>
          <xdr:row>3</xdr:row>
          <xdr:rowOff>190500</xdr:rowOff>
        </xdr:to>
        <xdr:sp macro="" textlink="">
          <xdr:nvSpPr>
            <xdr:cNvPr id="1028" name="OptionButton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12</xdr:row>
          <xdr:rowOff>184150</xdr:rowOff>
        </xdr:from>
        <xdr:to>
          <xdr:col>5</xdr:col>
          <xdr:colOff>2686050</xdr:colOff>
          <xdr:row>13</xdr:row>
          <xdr:rowOff>190500</xdr:rowOff>
        </xdr:to>
        <xdr:sp macro="" textlink="">
          <xdr:nvSpPr>
            <xdr:cNvPr id="1037" name="ComboBox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2" Type="http://schemas.openxmlformats.org/officeDocument/2006/relationships/hyperlink" Target="https://www.igae.pap.hacienda.gob.es/simula/inicio" TargetMode="External"/><Relationship Id="rId1" Type="http://schemas.openxmlformats.org/officeDocument/2006/relationships/hyperlink" Target="http://www.clasespasivas.sgpg.pap.meh.es/sitios/clasespasivas/es-ES/PensionesPrestaciones/PENSIONESCLASESPASIVAS/Paginas/PensionesClasesPasivas.aspx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5" Type="http://schemas.openxmlformats.org/officeDocument/2006/relationships/vmlDrawing" Target="../drawings/vmlDrawing1.vml"/><Relationship Id="rId10" Type="http://schemas.openxmlformats.org/officeDocument/2006/relationships/control" Target="../activeX/activeX3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N151"/>
  <sheetViews>
    <sheetView showGridLines="0" tabSelected="1" zoomScale="130" zoomScaleNormal="130" workbookViewId="0"/>
  </sheetViews>
  <sheetFormatPr baseColWidth="10" defaultRowHeight="14.5" x14ac:dyDescent="0.35"/>
  <cols>
    <col min="1" max="1" width="5.7265625" customWidth="1"/>
    <col min="2" max="2" width="25.7265625" customWidth="1"/>
    <col min="3" max="5" width="9.7265625" customWidth="1"/>
    <col min="6" max="6" width="40.7265625" customWidth="1"/>
    <col min="7" max="8" width="12.7265625" customWidth="1"/>
    <col min="9" max="9" width="7.54296875" hidden="1" customWidth="1"/>
    <col min="10" max="43" width="11.453125" hidden="1" customWidth="1"/>
    <col min="44" max="44" width="14" hidden="1" customWidth="1"/>
    <col min="45" max="66" width="11.453125" hidden="1" customWidth="1"/>
    <col min="67" max="71" width="11.453125" customWidth="1"/>
  </cols>
  <sheetData>
    <row r="1" spans="1:55" ht="7.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52" t="s">
        <v>33</v>
      </c>
      <c r="AE1" s="153"/>
      <c r="AF1" s="153"/>
      <c r="AG1" s="15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5" ht="15.75" customHeight="1" x14ac:dyDescent="0.35">
      <c r="A2" s="2"/>
      <c r="B2" s="155" t="s">
        <v>13</v>
      </c>
      <c r="C2" s="156"/>
      <c r="D2" s="156"/>
      <c r="E2" s="156"/>
      <c r="F2" s="156"/>
      <c r="G2" s="156"/>
      <c r="H2" s="157"/>
      <c r="I2" s="1"/>
      <c r="J2" s="158" t="s">
        <v>58</v>
      </c>
      <c r="K2" s="153"/>
      <c r="L2" s="153"/>
      <c r="M2" s="154"/>
      <c r="N2" s="2"/>
      <c r="O2" s="152" t="s">
        <v>138</v>
      </c>
      <c r="P2" s="153"/>
      <c r="Q2" s="153"/>
      <c r="R2" s="154"/>
      <c r="S2" s="2"/>
      <c r="T2" s="152" t="s">
        <v>14</v>
      </c>
      <c r="U2" s="153"/>
      <c r="V2" s="153"/>
      <c r="W2" s="153"/>
      <c r="X2" s="153"/>
      <c r="Y2" s="153"/>
      <c r="Z2" s="153"/>
      <c r="AA2" s="154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5" ht="15.75" customHeight="1" x14ac:dyDescent="0.35">
      <c r="A3" s="2"/>
      <c r="B3" s="39"/>
      <c r="C3" s="40"/>
      <c r="D3" s="40"/>
      <c r="E3" s="40"/>
      <c r="F3" s="41"/>
      <c r="G3" s="41"/>
      <c r="H3" s="42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4" t="s">
        <v>20</v>
      </c>
      <c r="AF3" s="4" t="s">
        <v>34</v>
      </c>
      <c r="AG3" s="14" t="s">
        <v>35</v>
      </c>
      <c r="AH3" s="2"/>
      <c r="AI3" s="2"/>
      <c r="AJ3" s="147" t="s">
        <v>148</v>
      </c>
      <c r="AK3" s="148"/>
      <c r="AL3" s="148"/>
      <c r="AM3" s="148"/>
      <c r="AN3" s="148"/>
      <c r="AO3" s="148"/>
      <c r="AP3" s="148"/>
      <c r="AQ3" s="149"/>
      <c r="AR3" s="2"/>
      <c r="AS3" s="2"/>
      <c r="AT3" s="2"/>
      <c r="AU3" s="2"/>
      <c r="AV3" s="2"/>
      <c r="AW3" s="2"/>
      <c r="AX3" s="2"/>
      <c r="AY3" s="2"/>
      <c r="AZ3" s="2"/>
      <c r="BA3" s="135">
        <v>3.7999999999999999E-2</v>
      </c>
      <c r="BB3" s="2"/>
    </row>
    <row r="4" spans="1:55" ht="15.75" customHeight="1" thickBot="1" x14ac:dyDescent="0.4">
      <c r="A4" s="2"/>
      <c r="B4" s="63" t="s">
        <v>15</v>
      </c>
      <c r="C4" s="43" t="b">
        <v>1</v>
      </c>
      <c r="D4" s="43" t="b">
        <v>0</v>
      </c>
      <c r="E4" s="40"/>
      <c r="F4" s="41"/>
      <c r="G4" s="163" t="s">
        <v>76</v>
      </c>
      <c r="H4" s="164"/>
      <c r="I4" s="1"/>
      <c r="J4" s="2" t="s">
        <v>10</v>
      </c>
      <c r="K4" s="3"/>
      <c r="L4" s="2"/>
      <c r="M4" s="2"/>
      <c r="N4" s="2"/>
      <c r="O4" s="4" t="s">
        <v>17</v>
      </c>
      <c r="P4" s="4" t="s">
        <v>18</v>
      </c>
      <c r="Q4" s="4" t="s">
        <v>19</v>
      </c>
      <c r="R4" s="2"/>
      <c r="S4" s="2"/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25</v>
      </c>
      <c r="AB4" s="2"/>
      <c r="AC4" s="2"/>
      <c r="AD4" s="2"/>
      <c r="AE4" s="7">
        <v>2012</v>
      </c>
      <c r="AF4" s="15">
        <v>1</v>
      </c>
      <c r="AG4" s="75">
        <v>18.749815297000001</v>
      </c>
      <c r="AH4" s="2"/>
      <c r="AI4" s="2"/>
      <c r="AJ4" s="86"/>
      <c r="AK4" s="86"/>
      <c r="AL4" s="86">
        <v>2022</v>
      </c>
      <c r="AM4" s="86" t="s">
        <v>142</v>
      </c>
      <c r="AN4" s="86" t="s">
        <v>94</v>
      </c>
      <c r="AO4" s="87"/>
      <c r="AP4" s="86"/>
      <c r="AQ4" s="86"/>
      <c r="AR4" s="86"/>
      <c r="AS4" s="2" t="s">
        <v>146</v>
      </c>
      <c r="AT4" s="86" t="s">
        <v>147</v>
      </c>
      <c r="AU4" s="2"/>
      <c r="AV4" s="2"/>
      <c r="AW4" s="2"/>
      <c r="AX4" s="2"/>
      <c r="AY4" s="2"/>
      <c r="AZ4" s="2"/>
      <c r="BA4" s="2"/>
      <c r="BB4" s="2"/>
      <c r="BC4" s="2"/>
    </row>
    <row r="5" spans="1:55" ht="15.75" customHeight="1" thickBot="1" x14ac:dyDescent="0.4">
      <c r="A5" s="2"/>
      <c r="B5" s="45"/>
      <c r="C5" s="46"/>
      <c r="D5" s="46"/>
      <c r="E5" s="126" t="str">
        <f>IF(D4=TRUE,"Número de hijos:","")</f>
        <v/>
      </c>
      <c r="F5" s="127" t="s">
        <v>140</v>
      </c>
      <c r="G5" s="46"/>
      <c r="H5" s="47"/>
      <c r="I5" s="1"/>
      <c r="K5" s="2" t="s">
        <v>0</v>
      </c>
      <c r="L5" s="2"/>
      <c r="M5" s="2"/>
      <c r="N5" s="2"/>
      <c r="O5" s="2">
        <v>60</v>
      </c>
      <c r="P5" s="6">
        <f>HLOOKUP(YEAR($R$37),$P$60:$BM$81,ROW()-3)</f>
        <v>22.04059893211517</v>
      </c>
      <c r="Q5" s="6">
        <f>HLOOKUP(YEAR($R$37),$P$82:$BM$103,ROW()-3)</f>
        <v>25.043552639711208</v>
      </c>
      <c r="R5" s="2"/>
      <c r="S5" s="2"/>
      <c r="T5" s="7">
        <v>2013</v>
      </c>
      <c r="U5" s="8">
        <v>16</v>
      </c>
      <c r="V5" s="9">
        <f>65+(1/12)</f>
        <v>65.083333333333329</v>
      </c>
      <c r="W5" s="9">
        <f>35+(3/12)</f>
        <v>35.25</v>
      </c>
      <c r="X5" s="10">
        <v>163</v>
      </c>
      <c r="Y5" s="11">
        <v>2.0999999999999999E-3</v>
      </c>
      <c r="Z5" s="10">
        <v>246</v>
      </c>
      <c r="AA5" s="12">
        <v>1.9E-3</v>
      </c>
      <c r="AB5" s="2"/>
      <c r="AC5" s="2"/>
      <c r="AD5" s="2"/>
      <c r="AE5" s="7">
        <v>2013</v>
      </c>
      <c r="AF5" s="15">
        <v>1</v>
      </c>
      <c r="AG5" s="7">
        <v>18.842204462000002</v>
      </c>
      <c r="AH5" s="2"/>
      <c r="AI5" s="2"/>
      <c r="AJ5" s="150" t="s">
        <v>95</v>
      </c>
      <c r="AK5" s="151"/>
      <c r="AL5" s="88">
        <f ca="1">G18</f>
        <v>44450.559999999998</v>
      </c>
      <c r="AM5" s="88">
        <f>G23</f>
        <v>0</v>
      </c>
      <c r="AN5" s="88">
        <f>VLOOKUP($E$10,$K$7:$L$12,2,0)</f>
        <v>49914.06</v>
      </c>
      <c r="AO5" s="142" t="s">
        <v>96</v>
      </c>
      <c r="AP5" s="143"/>
      <c r="AQ5" s="143"/>
      <c r="AR5" s="144"/>
      <c r="AS5" s="88">
        <f>G23</f>
        <v>0</v>
      </c>
      <c r="AT5" s="88">
        <f>(VLOOKUP($E$10,$K$7:$L$12,2,0)+$AN$10)</f>
        <v>51914.06</v>
      </c>
      <c r="AU5" s="2"/>
      <c r="AV5" s="2" t="s">
        <v>143</v>
      </c>
      <c r="AW5" s="2"/>
      <c r="AX5" s="2"/>
      <c r="AY5" s="2"/>
      <c r="AZ5" s="142" t="s">
        <v>96</v>
      </c>
      <c r="BA5" s="143"/>
      <c r="BB5" s="143"/>
      <c r="BC5" s="144"/>
    </row>
    <row r="6" spans="1:55" ht="15.75" customHeight="1" thickBot="1" x14ac:dyDescent="0.4">
      <c r="A6" s="2"/>
      <c r="B6" s="44"/>
      <c r="C6" s="64" t="s">
        <v>27</v>
      </c>
      <c r="D6" s="64" t="s">
        <v>28</v>
      </c>
      <c r="E6" s="64" t="s">
        <v>20</v>
      </c>
      <c r="F6" s="55" t="s">
        <v>125</v>
      </c>
      <c r="G6" s="66">
        <v>45000</v>
      </c>
      <c r="H6" s="42"/>
      <c r="I6" s="1"/>
      <c r="J6" s="2"/>
      <c r="K6" s="37" t="s">
        <v>1</v>
      </c>
      <c r="L6" s="38" t="s">
        <v>2</v>
      </c>
      <c r="M6" s="2" t="s">
        <v>87</v>
      </c>
      <c r="N6" s="2"/>
      <c r="O6" s="2">
        <v>61</v>
      </c>
      <c r="P6" s="6">
        <f t="shared" ref="P6:P25" si="0">HLOOKUP(YEAR($R$37),$P$60:$BM$81,ROW()-3)</f>
        <v>21.374239124482742</v>
      </c>
      <c r="Q6" s="6">
        <f t="shared" ref="Q6:Q25" si="1">HLOOKUP(YEAR($R$37),$P$82:$BM$103,ROW()-3)</f>
        <v>24.356272521078811</v>
      </c>
      <c r="R6" s="2"/>
      <c r="S6" s="2"/>
      <c r="T6" s="7">
        <v>2014</v>
      </c>
      <c r="U6" s="8">
        <v>17</v>
      </c>
      <c r="V6" s="9">
        <f>65+(2/12)</f>
        <v>65.166666666666671</v>
      </c>
      <c r="W6" s="9">
        <f>35+(6/12)</f>
        <v>35.5</v>
      </c>
      <c r="X6" s="10">
        <v>163</v>
      </c>
      <c r="Y6" s="11">
        <v>2.0999999999999999E-3</v>
      </c>
      <c r="Z6" s="10">
        <v>246</v>
      </c>
      <c r="AA6" s="12">
        <v>1.9E-3</v>
      </c>
      <c r="AB6" s="2"/>
      <c r="AC6" s="2"/>
      <c r="AD6" s="2"/>
      <c r="AE6" s="7">
        <v>2014</v>
      </c>
      <c r="AF6" s="15">
        <v>1</v>
      </c>
      <c r="AG6" s="7">
        <v>18.931830952999999</v>
      </c>
      <c r="AH6" s="2"/>
      <c r="AI6" s="2"/>
      <c r="AJ6" s="89"/>
      <c r="AK6" s="90"/>
      <c r="AL6" s="88"/>
      <c r="AM6" s="88"/>
      <c r="AN6" s="88"/>
      <c r="AO6" s="91" t="s">
        <v>97</v>
      </c>
      <c r="AP6" s="92" t="s">
        <v>98</v>
      </c>
      <c r="AQ6" s="92" t="s">
        <v>99</v>
      </c>
      <c r="AR6" s="93" t="s">
        <v>100</v>
      </c>
      <c r="AS6" s="88"/>
      <c r="AT6" s="88"/>
      <c r="AU6" s="2"/>
      <c r="AV6" s="2"/>
      <c r="AW6" s="2"/>
      <c r="AX6" s="2"/>
      <c r="AY6" s="2"/>
      <c r="AZ6" s="91" t="s">
        <v>97</v>
      </c>
      <c r="BA6" s="92" t="s">
        <v>98</v>
      </c>
      <c r="BB6" s="92" t="s">
        <v>99</v>
      </c>
      <c r="BC6" s="93" t="s">
        <v>100</v>
      </c>
    </row>
    <row r="7" spans="1:55" ht="15.75" customHeight="1" thickBot="1" x14ac:dyDescent="0.4">
      <c r="A7" s="2"/>
      <c r="B7" s="63" t="s">
        <v>29</v>
      </c>
      <c r="C7" s="65">
        <v>31</v>
      </c>
      <c r="D7" s="65">
        <v>7</v>
      </c>
      <c r="E7" s="66">
        <v>1975</v>
      </c>
      <c r="F7" s="55" t="s">
        <v>30</v>
      </c>
      <c r="G7" s="66"/>
      <c r="H7" s="61"/>
      <c r="I7" s="1"/>
      <c r="J7" s="2"/>
      <c r="K7" s="29" t="s">
        <v>3</v>
      </c>
      <c r="L7" s="138">
        <v>49914.06</v>
      </c>
      <c r="M7" s="139">
        <v>3175.04</v>
      </c>
      <c r="N7" s="79">
        <f>M7*14</f>
        <v>44450.559999999998</v>
      </c>
      <c r="O7" s="2">
        <v>62</v>
      </c>
      <c r="P7" s="6">
        <f t="shared" si="0"/>
        <v>20.709470267711794</v>
      </c>
      <c r="Q7" s="6">
        <f t="shared" si="1"/>
        <v>23.665817320550122</v>
      </c>
      <c r="R7" s="2"/>
      <c r="S7" s="2"/>
      <c r="T7" s="7">
        <v>2015</v>
      </c>
      <c r="U7" s="8">
        <v>18</v>
      </c>
      <c r="V7" s="9">
        <f>65+(3/12)</f>
        <v>65.25</v>
      </c>
      <c r="W7" s="9">
        <f>35+(9/12)</f>
        <v>35.75</v>
      </c>
      <c r="X7" s="10">
        <v>163</v>
      </c>
      <c r="Y7" s="11">
        <v>2.0999999999999999E-3</v>
      </c>
      <c r="Z7" s="10">
        <v>246</v>
      </c>
      <c r="AA7" s="12">
        <v>1.9E-3</v>
      </c>
      <c r="AB7" s="2"/>
      <c r="AC7" s="2"/>
      <c r="AD7" s="2"/>
      <c r="AE7" s="7">
        <v>2015</v>
      </c>
      <c r="AF7" s="15">
        <v>1</v>
      </c>
      <c r="AG7" s="7">
        <v>19.020738096999999</v>
      </c>
      <c r="AH7" s="2"/>
      <c r="AI7" s="2"/>
      <c r="AJ7" s="94" t="s">
        <v>101</v>
      </c>
      <c r="AK7" s="95"/>
      <c r="AL7" s="88">
        <f ca="1">SUM(AL5:AL6)</f>
        <v>44450.559999999998</v>
      </c>
      <c r="AM7" s="88">
        <f>SUM(AM5:AM6)</f>
        <v>0</v>
      </c>
      <c r="AN7" s="88">
        <f>SUM(AN5:AN6)</f>
        <v>49914.06</v>
      </c>
      <c r="AO7" s="96">
        <v>0</v>
      </c>
      <c r="AP7" s="97">
        <v>12450</v>
      </c>
      <c r="AQ7" s="97">
        <v>0</v>
      </c>
      <c r="AR7" s="98">
        <v>0.19</v>
      </c>
      <c r="AS7" s="88">
        <f>SUM(AS5:AS6)</f>
        <v>0</v>
      </c>
      <c r="AT7" s="88">
        <f>SUM(AT5:AT6)</f>
        <v>51914.06</v>
      </c>
      <c r="AU7" s="2"/>
      <c r="AV7" s="132">
        <v>0</v>
      </c>
      <c r="AW7" s="132">
        <v>0</v>
      </c>
      <c r="AX7" s="133">
        <v>12450</v>
      </c>
      <c r="AY7" s="134">
        <v>0.1</v>
      </c>
      <c r="AZ7" s="96">
        <f>AO7*(1+$BA$3)</f>
        <v>0</v>
      </c>
      <c r="BA7" s="96">
        <f t="shared" ref="BA7:BB7" si="2">AP7*(1+$BA$3)</f>
        <v>12923.1</v>
      </c>
      <c r="BB7" s="96">
        <f t="shared" si="2"/>
        <v>0</v>
      </c>
      <c r="BC7" s="98">
        <v>0.19</v>
      </c>
    </row>
    <row r="8" spans="1:55" ht="15.75" customHeight="1" thickBot="1" x14ac:dyDescent="0.4">
      <c r="A8" s="2"/>
      <c r="B8" s="45"/>
      <c r="C8" s="46"/>
      <c r="D8" s="46"/>
      <c r="E8" s="48"/>
      <c r="F8" s="46"/>
      <c r="G8" s="46"/>
      <c r="H8" s="47"/>
      <c r="I8" s="1"/>
      <c r="J8" s="2"/>
      <c r="K8" s="29" t="s">
        <v>4</v>
      </c>
      <c r="L8" s="138">
        <v>39283.61</v>
      </c>
      <c r="M8" s="136">
        <f>L7/N7-1</f>
        <v>0.12291183733118327</v>
      </c>
      <c r="N8" s="2"/>
      <c r="O8" s="2">
        <v>63</v>
      </c>
      <c r="P8" s="6">
        <f t="shared" si="0"/>
        <v>20.045253115743066</v>
      </c>
      <c r="Q8" s="6">
        <f t="shared" si="1"/>
        <v>22.971145819535916</v>
      </c>
      <c r="R8" s="2"/>
      <c r="S8" s="2"/>
      <c r="T8" s="7">
        <v>2016</v>
      </c>
      <c r="U8" s="8">
        <v>19</v>
      </c>
      <c r="V8" s="9">
        <f>65+(4/12)</f>
        <v>65.333333333333329</v>
      </c>
      <c r="W8" s="9">
        <f>36+(0/12)</f>
        <v>36</v>
      </c>
      <c r="X8" s="10">
        <v>163</v>
      </c>
      <c r="Y8" s="11">
        <v>2.0999999999999999E-3</v>
      </c>
      <c r="Z8" s="10">
        <v>246</v>
      </c>
      <c r="AA8" s="12">
        <v>1.9E-3</v>
      </c>
      <c r="AB8" s="2"/>
      <c r="AC8" s="2"/>
      <c r="AD8" s="2"/>
      <c r="AE8" s="7">
        <v>2016</v>
      </c>
      <c r="AF8" s="15">
        <v>1</v>
      </c>
      <c r="AG8" s="7">
        <v>19.107271296</v>
      </c>
      <c r="AH8" s="2"/>
      <c r="AI8" s="2"/>
      <c r="AJ8" s="99"/>
      <c r="AK8" s="99"/>
      <c r="AL8" s="99"/>
      <c r="AM8" s="99"/>
      <c r="AN8" s="99"/>
      <c r="AO8" s="96">
        <v>12450</v>
      </c>
      <c r="AP8" s="97">
        <v>20200</v>
      </c>
      <c r="AQ8" s="97">
        <f>AO8*AR7</f>
        <v>2365.5</v>
      </c>
      <c r="AR8" s="98">
        <v>0.24</v>
      </c>
      <c r="AS8" s="99"/>
      <c r="AT8" s="99"/>
      <c r="AU8" s="2"/>
      <c r="AV8" s="133">
        <v>12450</v>
      </c>
      <c r="AW8" s="133">
        <v>1245</v>
      </c>
      <c r="AX8" s="133">
        <v>4550</v>
      </c>
      <c r="AY8" s="134">
        <v>0.11</v>
      </c>
      <c r="AZ8" s="96">
        <f t="shared" ref="AZ8:AZ12" si="3">AO8*(1+$BA$3)</f>
        <v>12923.1</v>
      </c>
      <c r="BA8" s="96">
        <f t="shared" ref="BA8:BA11" si="4">AP8*(1+$BA$3)</f>
        <v>20967.600000000002</v>
      </c>
      <c r="BB8" s="96">
        <f t="shared" ref="BB8:BB12" si="5">AQ8*(1+$BA$3)</f>
        <v>2455.3890000000001</v>
      </c>
      <c r="BC8" s="98">
        <v>0.24</v>
      </c>
    </row>
    <row r="9" spans="1:55" ht="15.75" customHeight="1" thickBot="1" x14ac:dyDescent="0.4">
      <c r="A9" s="2"/>
      <c r="B9" s="160" t="s">
        <v>78</v>
      </c>
      <c r="C9" s="161"/>
      <c r="D9" s="161"/>
      <c r="E9" s="161"/>
      <c r="F9" s="161"/>
      <c r="G9" s="64" t="s">
        <v>31</v>
      </c>
      <c r="H9" s="54" t="s">
        <v>32</v>
      </c>
      <c r="J9" s="2"/>
      <c r="K9" s="29" t="s">
        <v>5</v>
      </c>
      <c r="L9" s="138">
        <v>34399.17</v>
      </c>
      <c r="M9" s="2"/>
      <c r="N9" s="2"/>
      <c r="O9" s="2">
        <v>64</v>
      </c>
      <c r="P9" s="6">
        <f t="shared" si="0"/>
        <v>19.38178467935472</v>
      </c>
      <c r="Q9" s="6">
        <f t="shared" si="1"/>
        <v>22.274140032099567</v>
      </c>
      <c r="R9" s="2"/>
      <c r="S9" s="2"/>
      <c r="T9" s="7">
        <v>2017</v>
      </c>
      <c r="U9" s="8">
        <v>20</v>
      </c>
      <c r="V9" s="9">
        <f>65+(5/12)</f>
        <v>65.416666666666671</v>
      </c>
      <c r="W9" s="9">
        <f>36+(3/12)</f>
        <v>36.25</v>
      </c>
      <c r="X9" s="10">
        <v>163</v>
      </c>
      <c r="Y9" s="11">
        <v>2.0999999999999999E-3</v>
      </c>
      <c r="Z9" s="10">
        <v>246</v>
      </c>
      <c r="AA9" s="12">
        <v>1.9E-3</v>
      </c>
      <c r="AB9" s="2"/>
      <c r="AC9" s="2"/>
      <c r="AD9" s="2"/>
      <c r="AE9" s="7">
        <v>2017</v>
      </c>
      <c r="AF9" s="15">
        <v>1</v>
      </c>
      <c r="AG9" s="75">
        <v>19.192440652999998</v>
      </c>
      <c r="AH9" s="2"/>
      <c r="AI9" s="2"/>
      <c r="AJ9" s="100" t="s">
        <v>102</v>
      </c>
      <c r="AK9" s="101"/>
      <c r="AL9" s="88">
        <f>AP15+IF(YEARFRAC(DATE($E$7,$D$7,C7),$R$37,0)&gt;=65,AP16,0)</f>
        <v>5550</v>
      </c>
      <c r="AM9" s="88">
        <f>AL9</f>
        <v>5550</v>
      </c>
      <c r="AN9" s="88">
        <f ca="1">AP15+IF(YEARFRAC(DATE($E$7,$D$7,$C$7),$R$36,0)&gt;=65,AP16,0)</f>
        <v>5550</v>
      </c>
      <c r="AO9" s="96">
        <v>20200</v>
      </c>
      <c r="AP9" s="97">
        <v>35200</v>
      </c>
      <c r="AQ9" s="97">
        <f>AQ8+(AP8-AO8)*AR8</f>
        <v>4225.5</v>
      </c>
      <c r="AR9" s="98">
        <v>0.3</v>
      </c>
      <c r="AS9" s="88">
        <f>BA15+IF(YEARFRAC(DATE($E$7,$D$7,J7),$R$37,0)&gt;=65,BA16,0)</f>
        <v>5760.9000000000005</v>
      </c>
      <c r="AT9" s="88">
        <f ca="1">AP15+IF(YEARFRAC(DATE($E$7,$D$7,$C$7),$R$36,0)&gt;=65,AP16,0)</f>
        <v>5550</v>
      </c>
      <c r="AU9" s="2"/>
      <c r="AV9" s="133">
        <v>17000</v>
      </c>
      <c r="AW9" s="133">
        <v>1745.5</v>
      </c>
      <c r="AX9" s="133">
        <v>13000</v>
      </c>
      <c r="AY9" s="134">
        <v>0.13900000000000001</v>
      </c>
      <c r="AZ9" s="96">
        <f t="shared" si="3"/>
        <v>20967.600000000002</v>
      </c>
      <c r="BA9" s="96">
        <f t="shared" si="4"/>
        <v>36537.599999999999</v>
      </c>
      <c r="BB9" s="96">
        <f t="shared" si="5"/>
        <v>4386.0690000000004</v>
      </c>
      <c r="BC9" s="98">
        <v>0.3</v>
      </c>
    </row>
    <row r="10" spans="1:55" ht="15.75" customHeight="1" thickBot="1" x14ac:dyDescent="0.4">
      <c r="A10" s="2"/>
      <c r="B10" s="52"/>
      <c r="C10" s="57"/>
      <c r="D10" s="55" t="s">
        <v>74</v>
      </c>
      <c r="E10" s="67" t="s">
        <v>3</v>
      </c>
      <c r="F10" s="55" t="s">
        <v>62</v>
      </c>
      <c r="G10" s="65">
        <v>24</v>
      </c>
      <c r="H10" s="68">
        <v>0</v>
      </c>
      <c r="J10" s="2"/>
      <c r="K10" s="29" t="s">
        <v>6</v>
      </c>
      <c r="L10" s="138">
        <v>30170.49</v>
      </c>
      <c r="M10" s="2"/>
      <c r="N10" s="2"/>
      <c r="O10" s="2">
        <v>65</v>
      </c>
      <c r="P10" s="6">
        <f t="shared" si="0"/>
        <v>18.718372393779461</v>
      </c>
      <c r="Q10" s="6">
        <f t="shared" si="1"/>
        <v>21.573318471474046</v>
      </c>
      <c r="R10" s="2"/>
      <c r="S10" s="2"/>
      <c r="T10" s="7">
        <v>2018</v>
      </c>
      <c r="U10" s="8">
        <v>21</v>
      </c>
      <c r="V10" s="9">
        <f>65+(6/12)</f>
        <v>65.5</v>
      </c>
      <c r="W10" s="9">
        <f>36+(6/12)</f>
        <v>36.5</v>
      </c>
      <c r="X10" s="10">
        <v>163</v>
      </c>
      <c r="Y10" s="11">
        <v>2.0999999999999999E-3</v>
      </c>
      <c r="Z10" s="10">
        <v>246</v>
      </c>
      <c r="AA10" s="12">
        <v>1.9E-3</v>
      </c>
      <c r="AB10" s="2"/>
      <c r="AC10" s="2"/>
      <c r="AD10" s="2"/>
      <c r="AE10" s="7">
        <v>2018</v>
      </c>
      <c r="AF10" s="15">
        <v>1</v>
      </c>
      <c r="AG10" s="7">
        <v>19.274547173999999</v>
      </c>
      <c r="AH10" s="2"/>
      <c r="AI10" s="2"/>
      <c r="AJ10" s="100" t="s">
        <v>103</v>
      </c>
      <c r="AK10" s="101"/>
      <c r="AL10" s="88">
        <f ca="1">AQ21+IF(AL5*(1-AL11)&lt;AO18,AP18,IF(AL5*(1-AL11)&gt;AO19,0,AP18-AP19*(AL5*(1-AL11)-AO18)))</f>
        <v>2600</v>
      </c>
      <c r="AM10" s="88">
        <f t="shared" ref="AM10:AM12" ca="1" si="6">AL10</f>
        <v>2600</v>
      </c>
      <c r="AN10" s="88">
        <f>AR21+IF(AN5*(1-AN11)&lt;$AO18,$AP18,IF(AN5*(1-AN11)&lt;$AO19,$AP18-($AQ18*(AN5*(1-AN11)-$AO18)),IF(AN5*(1-AN11)&lt;$AO20,$AP19-($AQ19*(AN5*(1-AN11)-$AO19)),0)))</f>
        <v>2000</v>
      </c>
      <c r="AO10" s="96">
        <v>35200</v>
      </c>
      <c r="AP10" s="97">
        <v>60000</v>
      </c>
      <c r="AQ10" s="97">
        <f t="shared" ref="AQ10" si="7">AQ9+(AP9-AO9)*AR9</f>
        <v>8725.5</v>
      </c>
      <c r="AR10" s="98">
        <v>0.37</v>
      </c>
      <c r="AS10" s="88">
        <f>BB20+IF(AS5*(1-AS11)&lt;AZ18,BA18,IF(AS5*(1-AS11)&gt;AZ19,0,BA18-BA19*(AS5*(1-AS11)-AZ18)))</f>
        <v>10278.276000000002</v>
      </c>
      <c r="AT10" s="88">
        <f>$AR$21</f>
        <v>2000</v>
      </c>
      <c r="AU10" s="2"/>
      <c r="AV10" s="133">
        <v>30000</v>
      </c>
      <c r="AW10" s="133">
        <v>3552.5</v>
      </c>
      <c r="AX10" s="133">
        <v>20000</v>
      </c>
      <c r="AY10" s="134">
        <v>0.18</v>
      </c>
      <c r="AZ10" s="96">
        <f t="shared" si="3"/>
        <v>36537.599999999999</v>
      </c>
      <c r="BA10" s="96">
        <f t="shared" si="4"/>
        <v>62280</v>
      </c>
      <c r="BB10" s="96">
        <f t="shared" si="5"/>
        <v>9057.0689999999995</v>
      </c>
      <c r="BC10" s="98">
        <v>0.37</v>
      </c>
    </row>
    <row r="11" spans="1:55" ht="15.75" customHeight="1" thickBot="1" x14ac:dyDescent="0.4">
      <c r="A11" s="2"/>
      <c r="B11" s="52"/>
      <c r="C11" s="55"/>
      <c r="D11" s="55" t="s">
        <v>75</v>
      </c>
      <c r="E11" s="67"/>
      <c r="F11" s="55" t="str">
        <f>IF(E11&lt;&gt;"","Tiempo de servicio hasta el cambio de grupo","")</f>
        <v/>
      </c>
      <c r="G11" s="65"/>
      <c r="H11" s="68"/>
      <c r="J11" s="2"/>
      <c r="K11" s="29" t="s">
        <v>7</v>
      </c>
      <c r="L11" s="138">
        <v>23869.85</v>
      </c>
      <c r="M11" s="2"/>
      <c r="N11" s="2"/>
      <c r="O11" s="2">
        <v>66</v>
      </c>
      <c r="P11" s="6">
        <f t="shared" si="0"/>
        <v>18.056688697825123</v>
      </c>
      <c r="Q11" s="6">
        <f t="shared" si="1"/>
        <v>20.869323989271848</v>
      </c>
      <c r="R11" s="2"/>
      <c r="S11" s="2"/>
      <c r="T11" s="7">
        <v>2019</v>
      </c>
      <c r="U11" s="8">
        <v>22</v>
      </c>
      <c r="V11" s="9">
        <f>65+(8/12)</f>
        <v>65.666666666666671</v>
      </c>
      <c r="W11" s="9">
        <f>36+(9/12)</f>
        <v>36.75</v>
      </c>
      <c r="X11" s="10">
        <v>163</v>
      </c>
      <c r="Y11" s="11">
        <v>2.0999999999999999E-3</v>
      </c>
      <c r="Z11" s="10">
        <v>246</v>
      </c>
      <c r="AA11" s="12">
        <v>1.9E-3</v>
      </c>
      <c r="AB11" s="2"/>
      <c r="AC11" s="2"/>
      <c r="AD11" s="2"/>
      <c r="AE11" s="7">
        <v>2019</v>
      </c>
      <c r="AF11" s="76">
        <f>ROUND(AF10*(AG4/AG9)^(1/5),4)</f>
        <v>0.99529999999999996</v>
      </c>
      <c r="AG11" s="7">
        <v>19.354607756</v>
      </c>
      <c r="AH11" s="2"/>
      <c r="AI11" s="2"/>
      <c r="AJ11" s="100" t="s">
        <v>104</v>
      </c>
      <c r="AK11" s="101"/>
      <c r="AL11" s="102"/>
      <c r="AM11" s="88">
        <f t="shared" si="6"/>
        <v>0</v>
      </c>
      <c r="AN11" s="102">
        <f>3.86%+1.69%</f>
        <v>5.5499999999999994E-2</v>
      </c>
      <c r="AO11" s="96">
        <v>60000</v>
      </c>
      <c r="AP11" s="97">
        <v>300000</v>
      </c>
      <c r="AQ11" s="97">
        <f>AQ10+(AP10-AO10)*AR10</f>
        <v>17901.5</v>
      </c>
      <c r="AR11" s="98">
        <v>0.45</v>
      </c>
      <c r="AS11" s="88">
        <f>AL11</f>
        <v>0</v>
      </c>
      <c r="AT11" s="102">
        <f>3.86%+1.69%</f>
        <v>5.5499999999999994E-2</v>
      </c>
      <c r="AU11" s="2"/>
      <c r="AV11" s="133">
        <v>50000</v>
      </c>
      <c r="AW11" s="133">
        <v>7152.5</v>
      </c>
      <c r="AX11" s="133">
        <v>15000</v>
      </c>
      <c r="AY11" s="134">
        <v>0.23499999999999999</v>
      </c>
      <c r="AZ11" s="96">
        <f t="shared" si="3"/>
        <v>62280</v>
      </c>
      <c r="BA11" s="96">
        <f t="shared" si="4"/>
        <v>311400</v>
      </c>
      <c r="BB11" s="96">
        <f t="shared" si="5"/>
        <v>18581.757000000001</v>
      </c>
      <c r="BC11" s="98">
        <v>0.45</v>
      </c>
    </row>
    <row r="12" spans="1:55" ht="15.75" customHeight="1" thickBot="1" x14ac:dyDescent="0.4">
      <c r="A12" s="2"/>
      <c r="B12" s="52"/>
      <c r="C12" s="55"/>
      <c r="D12" s="55" t="s">
        <v>75</v>
      </c>
      <c r="E12" s="67"/>
      <c r="F12" s="55" t="str">
        <f>IF(E12&lt;&gt;"","Tiempo de servicio hasta el cambio de grupo","")</f>
        <v/>
      </c>
      <c r="G12" s="65"/>
      <c r="H12" s="68"/>
      <c r="I12" s="1"/>
      <c r="J12" s="2"/>
      <c r="K12" s="29" t="s">
        <v>8</v>
      </c>
      <c r="L12" s="138">
        <v>20350.96</v>
      </c>
      <c r="M12" s="139">
        <v>783.3</v>
      </c>
      <c r="N12" s="2"/>
      <c r="O12" s="2">
        <v>67</v>
      </c>
      <c r="P12" s="6">
        <f t="shared" si="0"/>
        <v>17.398308900062553</v>
      </c>
      <c r="Q12" s="6">
        <f t="shared" si="1"/>
        <v>20.165787416864639</v>
      </c>
      <c r="R12" s="2"/>
      <c r="S12" s="2"/>
      <c r="T12" s="7">
        <v>2020</v>
      </c>
      <c r="U12" s="8">
        <v>23</v>
      </c>
      <c r="V12" s="9">
        <f>65+(10/12)</f>
        <v>65.833333333333329</v>
      </c>
      <c r="W12" s="9">
        <f>37+(0/12)</f>
        <v>37</v>
      </c>
      <c r="X12" s="10">
        <v>106</v>
      </c>
      <c r="Y12" s="11">
        <v>2.0999999999999999E-3</v>
      </c>
      <c r="Z12" s="10">
        <v>252</v>
      </c>
      <c r="AA12" s="12">
        <v>1.9E-3</v>
      </c>
      <c r="AB12" s="2"/>
      <c r="AC12" s="2"/>
      <c r="AD12" s="2"/>
      <c r="AE12" s="7">
        <v>2020</v>
      </c>
      <c r="AF12" s="77">
        <f>ROUND(AF11*(AG4/AG9)^(1/5),4)</f>
        <v>0.99070000000000003</v>
      </c>
      <c r="AG12" s="7">
        <v>19.433678311000001</v>
      </c>
      <c r="AH12" s="2"/>
      <c r="AI12" s="2"/>
      <c r="AJ12" s="100" t="s">
        <v>105</v>
      </c>
      <c r="AK12" s="101"/>
      <c r="AL12" s="88">
        <f ca="1">AL10</f>
        <v>2600</v>
      </c>
      <c r="AM12" s="88">
        <f t="shared" ca="1" si="6"/>
        <v>2600</v>
      </c>
      <c r="AN12" s="88">
        <f>$AR$21</f>
        <v>2000</v>
      </c>
      <c r="AO12" s="103">
        <v>300000</v>
      </c>
      <c r="AP12" s="104"/>
      <c r="AQ12" s="104">
        <v>125901.5</v>
      </c>
      <c r="AR12" s="105">
        <v>0.47</v>
      </c>
      <c r="AS12" s="88">
        <f>AS10</f>
        <v>10278.276000000002</v>
      </c>
      <c r="AT12" s="88">
        <f>$AR$21</f>
        <v>2000</v>
      </c>
      <c r="AU12" s="2"/>
      <c r="AV12" s="133">
        <v>65000</v>
      </c>
      <c r="AW12" s="133">
        <v>10677.5</v>
      </c>
      <c r="AX12" s="133">
        <v>15000</v>
      </c>
      <c r="AY12" s="134">
        <v>0.245</v>
      </c>
      <c r="AZ12" s="96">
        <f t="shared" si="3"/>
        <v>311400</v>
      </c>
      <c r="BA12" s="96"/>
      <c r="BB12" s="96">
        <f t="shared" si="5"/>
        <v>130685.757</v>
      </c>
      <c r="BC12" s="105">
        <v>0.47</v>
      </c>
    </row>
    <row r="13" spans="1:55" ht="15.75" customHeight="1" thickBot="1" x14ac:dyDescent="0.4">
      <c r="A13" s="2"/>
      <c r="B13" s="45"/>
      <c r="C13" s="46"/>
      <c r="D13" s="46"/>
      <c r="E13" s="46"/>
      <c r="F13" s="49"/>
      <c r="G13" s="50"/>
      <c r="H13" s="51"/>
      <c r="I13" s="1"/>
      <c r="J13" s="2"/>
      <c r="K13" s="13"/>
      <c r="L13" s="13"/>
      <c r="M13" s="2"/>
      <c r="N13" s="2"/>
      <c r="O13" s="2">
        <v>68</v>
      </c>
      <c r="P13" s="6">
        <f t="shared" si="0"/>
        <v>16.744039836274411</v>
      </c>
      <c r="Q13" s="6">
        <f t="shared" si="1"/>
        <v>19.459953285538568</v>
      </c>
      <c r="R13" s="2"/>
      <c r="S13" s="2"/>
      <c r="T13" s="7">
        <v>2021</v>
      </c>
      <c r="U13" s="8">
        <v>24</v>
      </c>
      <c r="V13" s="9">
        <f>66+(0/12)</f>
        <v>66</v>
      </c>
      <c r="W13" s="9">
        <f>37+(3/12)</f>
        <v>37.25</v>
      </c>
      <c r="X13" s="10">
        <v>106</v>
      </c>
      <c r="Y13" s="11">
        <v>2.0999999999999999E-3</v>
      </c>
      <c r="Z13" s="10">
        <v>252</v>
      </c>
      <c r="AA13" s="12">
        <v>1.9E-3</v>
      </c>
      <c r="AB13" s="2"/>
      <c r="AC13" s="2"/>
      <c r="AD13" s="2"/>
      <c r="AE13" s="7">
        <v>2021</v>
      </c>
      <c r="AF13" s="77">
        <f>ROUND(AF12*(AG4/AG9)^(1/5),4)</f>
        <v>0.98609999999999998</v>
      </c>
      <c r="AG13" s="7">
        <v>19.510033468</v>
      </c>
      <c r="AH13" s="2"/>
      <c r="AI13" s="2"/>
      <c r="AJ13" s="107" t="s">
        <v>106</v>
      </c>
      <c r="AK13" s="108"/>
      <c r="AL13" s="88">
        <f ca="1">AL7-AL12</f>
        <v>41850.559999999998</v>
      </c>
      <c r="AM13" s="88">
        <f ca="1">AM7-AM12</f>
        <v>-2600</v>
      </c>
      <c r="AN13" s="88">
        <f>AN7-AN12</f>
        <v>47914.06</v>
      </c>
      <c r="AO13" s="145" t="s">
        <v>107</v>
      </c>
      <c r="AP13" s="146"/>
      <c r="AQ13" s="146"/>
      <c r="AR13" s="106"/>
      <c r="AS13" s="88">
        <f>AS7-AS12</f>
        <v>-10278.276000000002</v>
      </c>
      <c r="AT13" s="88">
        <f>AT7-AT12</f>
        <v>49914.06</v>
      </c>
      <c r="AU13" s="2"/>
      <c r="AV13" s="133">
        <v>80000</v>
      </c>
      <c r="AW13" s="133">
        <v>14352.5</v>
      </c>
      <c r="AX13" s="133">
        <v>40000</v>
      </c>
      <c r="AY13" s="134">
        <v>0.25</v>
      </c>
      <c r="AZ13" s="145" t="s">
        <v>107</v>
      </c>
      <c r="BA13" s="146"/>
      <c r="BB13" s="146"/>
      <c r="BC13" s="106"/>
    </row>
    <row r="14" spans="1:55" ht="15.75" customHeight="1" thickBot="1" x14ac:dyDescent="0.4">
      <c r="A14" s="2"/>
      <c r="B14" s="52"/>
      <c r="C14" s="53"/>
      <c r="D14" s="55" t="s">
        <v>59</v>
      </c>
      <c r="E14" s="62" t="s">
        <v>57</v>
      </c>
      <c r="F14" s="50"/>
      <c r="G14" s="50"/>
      <c r="H14" s="51"/>
      <c r="I14" s="1"/>
      <c r="J14" s="2"/>
      <c r="K14" s="2" t="s">
        <v>9</v>
      </c>
      <c r="L14" s="2"/>
      <c r="M14" s="2"/>
      <c r="N14" s="2"/>
      <c r="O14" s="2">
        <v>69</v>
      </c>
      <c r="P14" s="6">
        <f t="shared" si="0"/>
        <v>16.090273440419956</v>
      </c>
      <c r="Q14" s="6">
        <f t="shared" si="1"/>
        <v>18.751265430592571</v>
      </c>
      <c r="R14" s="2"/>
      <c r="S14" s="2"/>
      <c r="T14" s="7">
        <v>2022</v>
      </c>
      <c r="U14" s="8">
        <v>25</v>
      </c>
      <c r="V14" s="9">
        <f>66+(2/12)</f>
        <v>66.166666666666671</v>
      </c>
      <c r="W14" s="9">
        <f>37+(6/12)</f>
        <v>37.5</v>
      </c>
      <c r="X14" s="10">
        <v>106</v>
      </c>
      <c r="Y14" s="11">
        <v>2.0999999999999999E-3</v>
      </c>
      <c r="Z14" s="10">
        <v>252</v>
      </c>
      <c r="AA14" s="12">
        <v>1.9E-3</v>
      </c>
      <c r="AB14" s="2"/>
      <c r="AC14" s="2"/>
      <c r="AD14" s="2"/>
      <c r="AE14" s="7">
        <v>2022</v>
      </c>
      <c r="AF14" s="77">
        <f>ROUND(AF13*(AG4/AG9)^(1/5),4)</f>
        <v>0.98150000000000004</v>
      </c>
      <c r="AG14" s="75">
        <v>19.585303211999999</v>
      </c>
      <c r="AH14" s="2"/>
      <c r="AI14" s="2"/>
      <c r="AJ14" s="99"/>
      <c r="AK14" s="99"/>
      <c r="AL14" s="99"/>
      <c r="AM14" s="99"/>
      <c r="AN14" s="99"/>
      <c r="AO14" s="109" t="s">
        <v>108</v>
      </c>
      <c r="AP14" s="109"/>
      <c r="AQ14" s="106"/>
      <c r="AR14" s="110"/>
      <c r="AS14" s="99"/>
      <c r="AT14" s="99"/>
      <c r="AU14" s="2"/>
      <c r="AV14" s="133">
        <v>120000</v>
      </c>
      <c r="AW14" s="133">
        <v>24352.5</v>
      </c>
      <c r="AX14" s="133">
        <v>20000</v>
      </c>
      <c r="AY14" s="134">
        <v>0.255</v>
      </c>
      <c r="AZ14" s="109" t="s">
        <v>108</v>
      </c>
      <c r="BA14" s="109"/>
      <c r="BB14" s="106"/>
      <c r="BC14" s="110"/>
    </row>
    <row r="15" spans="1:55" ht="15.75" customHeight="1" thickBot="1" x14ac:dyDescent="0.4">
      <c r="A15" s="2"/>
      <c r="B15" s="39"/>
      <c r="C15" s="40"/>
      <c r="D15" s="40"/>
      <c r="E15" s="40"/>
      <c r="F15" s="49"/>
      <c r="G15" s="50"/>
      <c r="H15" s="51"/>
      <c r="I15" s="1"/>
      <c r="J15" s="2"/>
      <c r="K15" s="2" t="s">
        <v>11</v>
      </c>
      <c r="M15" s="2"/>
      <c r="N15" s="2"/>
      <c r="O15" s="2">
        <v>70</v>
      </c>
      <c r="P15" s="6">
        <f t="shared" si="0"/>
        <v>15.437560431581844</v>
      </c>
      <c r="Q15" s="6">
        <f t="shared" si="1"/>
        <v>18.042503602148795</v>
      </c>
      <c r="R15" s="2"/>
      <c r="S15" s="2"/>
      <c r="T15" s="7">
        <v>2023</v>
      </c>
      <c r="U15" s="8">
        <v>25</v>
      </c>
      <c r="V15" s="9">
        <f>66+(4/12)</f>
        <v>66.333333333333329</v>
      </c>
      <c r="W15" s="9">
        <f>37+(9/12)</f>
        <v>37.75</v>
      </c>
      <c r="X15" s="10">
        <v>49</v>
      </c>
      <c r="Y15" s="11">
        <v>2.0999999999999999E-3</v>
      </c>
      <c r="Z15" s="10">
        <v>258</v>
      </c>
      <c r="AA15" s="12">
        <v>1.9E-3</v>
      </c>
      <c r="AB15" s="2"/>
      <c r="AC15" s="2"/>
      <c r="AD15" s="2"/>
      <c r="AE15" s="7">
        <v>2023</v>
      </c>
      <c r="AF15" s="77">
        <f>ROUND(AF14*(AG4/AG9)^(1/5),4)</f>
        <v>0.97689999999999999</v>
      </c>
      <c r="AG15" s="7">
        <v>19.658881360999999</v>
      </c>
      <c r="AH15" s="2"/>
      <c r="AI15" s="2"/>
      <c r="AJ15" s="111" t="s">
        <v>109</v>
      </c>
      <c r="AK15" s="112"/>
      <c r="AL15" s="102">
        <f ca="1">VLOOKUP(AL13,$AO$7:$AR$12,4)</f>
        <v>0.37</v>
      </c>
      <c r="AM15" s="102" t="e">
        <f ca="1">VLOOKUP(AM13,$AO$7:$AR$12,4)</f>
        <v>#N/A</v>
      </c>
      <c r="AN15" s="102">
        <f>VLOOKUP(AN13,$AO$7:$AR$12,4)</f>
        <v>0.37</v>
      </c>
      <c r="AO15" s="106" t="s">
        <v>110</v>
      </c>
      <c r="AP15" s="106">
        <v>5550</v>
      </c>
      <c r="AQ15" s="106"/>
      <c r="AR15" s="110"/>
      <c r="AS15" s="102" t="e">
        <f>VLOOKUP(AS13,$AZ$7:$BC$12,4)</f>
        <v>#N/A</v>
      </c>
      <c r="AT15" s="102">
        <f>VLOOKUP(AT13,AV7:AY16,4)*2</f>
        <v>0.36</v>
      </c>
      <c r="AU15" s="2"/>
      <c r="AV15" s="133">
        <v>140000</v>
      </c>
      <c r="AW15" s="133">
        <v>29452.5</v>
      </c>
      <c r="AX15" s="133">
        <v>35000</v>
      </c>
      <c r="AY15" s="134">
        <v>0.27500000000000002</v>
      </c>
      <c r="AZ15" s="106" t="s">
        <v>110</v>
      </c>
      <c r="BA15" s="96">
        <f t="shared" ref="AZ15:BA19" si="8">AP15*(1+$BA$3)</f>
        <v>5760.9000000000005</v>
      </c>
      <c r="BB15" s="106"/>
      <c r="BC15" s="110"/>
    </row>
    <row r="16" spans="1:55" ht="15.75" customHeight="1" thickBot="1" x14ac:dyDescent="0.4">
      <c r="A16" s="2"/>
      <c r="B16" s="165" t="s">
        <v>68</v>
      </c>
      <c r="C16" s="166"/>
      <c r="D16" s="166"/>
      <c r="E16" s="166"/>
      <c r="F16" s="166"/>
      <c r="G16" s="166"/>
      <c r="H16" s="167"/>
      <c r="I16" s="1"/>
      <c r="J16" s="2"/>
      <c r="K16" s="37" t="s">
        <v>12</v>
      </c>
      <c r="L16" s="38" t="s">
        <v>2</v>
      </c>
      <c r="M16" s="2"/>
      <c r="N16" s="2"/>
      <c r="O16" s="2">
        <v>71</v>
      </c>
      <c r="P16" s="6">
        <f t="shared" si="0"/>
        <v>14.793644848773353</v>
      </c>
      <c r="Q16" s="6">
        <f t="shared" si="1"/>
        <v>17.336009664954609</v>
      </c>
      <c r="R16" s="2"/>
      <c r="S16" s="2"/>
      <c r="T16" s="7">
        <v>2024</v>
      </c>
      <c r="U16" s="8">
        <v>25</v>
      </c>
      <c r="V16" s="9">
        <f>66+(6/12)</f>
        <v>66.5</v>
      </c>
      <c r="W16" s="9">
        <f>38+(0/12)</f>
        <v>38</v>
      </c>
      <c r="X16" s="10">
        <v>49</v>
      </c>
      <c r="Y16" s="11">
        <v>2.0999999999999999E-3</v>
      </c>
      <c r="Z16" s="10">
        <v>258</v>
      </c>
      <c r="AA16" s="12">
        <v>1.9E-3</v>
      </c>
      <c r="AB16" s="2"/>
      <c r="AC16" s="2"/>
      <c r="AD16" s="2"/>
      <c r="AE16" s="7">
        <v>2024</v>
      </c>
      <c r="AF16" s="76">
        <f>ROUND(AF15*(AG9/AG14)^(1/5),4)</f>
        <v>0.97289999999999999</v>
      </c>
      <c r="AG16" s="7">
        <v>19.730721422999999</v>
      </c>
      <c r="AH16" s="2"/>
      <c r="AI16" s="2"/>
      <c r="AJ16" s="113" t="s">
        <v>111</v>
      </c>
      <c r="AK16" s="114"/>
      <c r="AL16" s="88">
        <f ca="1">VLOOKUP(AL13,$AO$7:$AR$12,1)</f>
        <v>35200</v>
      </c>
      <c r="AM16" s="88" t="e">
        <f t="shared" ref="AM16:AN16" ca="1" si="9">VLOOKUP(AM13,$AO$7:$AR$12,1)</f>
        <v>#N/A</v>
      </c>
      <c r="AN16" s="88">
        <f t="shared" si="9"/>
        <v>35200</v>
      </c>
      <c r="AO16" s="106" t="s">
        <v>112</v>
      </c>
      <c r="AP16" s="106">
        <v>1150</v>
      </c>
      <c r="AQ16" s="106"/>
      <c r="AR16" s="110"/>
      <c r="AS16" s="88" t="e">
        <f>VLOOKUP(AS13,$AZ$7:$BC$12,1)</f>
        <v>#N/A</v>
      </c>
      <c r="AT16" s="88">
        <f>VLOOKUP(AT13,AV7:AY16,1)</f>
        <v>30000</v>
      </c>
      <c r="AU16" s="2"/>
      <c r="AV16" s="133">
        <v>175000</v>
      </c>
      <c r="AW16" s="133">
        <v>39077.5</v>
      </c>
      <c r="AX16" s="132" t="s">
        <v>144</v>
      </c>
      <c r="AY16" s="134">
        <v>0.29499999999999998</v>
      </c>
      <c r="AZ16" s="106" t="s">
        <v>112</v>
      </c>
      <c r="BA16" s="96">
        <f t="shared" si="8"/>
        <v>1193.7</v>
      </c>
      <c r="BB16" s="106"/>
      <c r="BC16" s="110"/>
    </row>
    <row r="17" spans="1:55" ht="15.75" customHeight="1" thickBot="1" x14ac:dyDescent="0.4">
      <c r="A17" s="2"/>
      <c r="B17" s="39"/>
      <c r="C17" s="40"/>
      <c r="D17" s="64" t="s">
        <v>31</v>
      </c>
      <c r="E17" s="64" t="s">
        <v>32</v>
      </c>
      <c r="F17" s="40"/>
      <c r="G17" s="64" t="s">
        <v>16</v>
      </c>
      <c r="H17" s="54" t="s">
        <v>79</v>
      </c>
      <c r="I17" s="1"/>
      <c r="J17" s="2"/>
      <c r="K17" s="29">
        <v>10</v>
      </c>
      <c r="L17" s="138">
        <v>49914.06</v>
      </c>
      <c r="M17" s="2"/>
      <c r="N17" s="2"/>
      <c r="O17" s="2">
        <v>72</v>
      </c>
      <c r="P17" s="6">
        <f t="shared" si="0"/>
        <v>14.158234993592968</v>
      </c>
      <c r="Q17" s="6">
        <f t="shared" si="1"/>
        <v>16.630793937789996</v>
      </c>
      <c r="R17" s="2"/>
      <c r="S17" s="2"/>
      <c r="T17" s="7">
        <v>2025</v>
      </c>
      <c r="U17" s="8">
        <v>25</v>
      </c>
      <c r="V17" s="9">
        <f>66+(8/12)</f>
        <v>66.666666666666671</v>
      </c>
      <c r="W17" s="9">
        <f>38+(3/12)</f>
        <v>38.25</v>
      </c>
      <c r="X17" s="10">
        <v>49</v>
      </c>
      <c r="Y17" s="11">
        <v>2.0999999999999999E-3</v>
      </c>
      <c r="Z17" s="10">
        <v>258</v>
      </c>
      <c r="AA17" s="12">
        <v>1.9E-3</v>
      </c>
      <c r="AB17" s="2"/>
      <c r="AC17" s="2"/>
      <c r="AD17" s="2"/>
      <c r="AE17" s="7">
        <v>2025</v>
      </c>
      <c r="AF17" s="77">
        <f>ROUND(AF16*(AG9/AG14)^(1/5),4)</f>
        <v>0.96899999999999997</v>
      </c>
      <c r="AG17" s="7">
        <v>19.800196438</v>
      </c>
      <c r="AH17" s="2"/>
      <c r="AI17" s="2"/>
      <c r="AJ17" s="113" t="s">
        <v>113</v>
      </c>
      <c r="AK17" s="114"/>
      <c r="AL17" s="88">
        <f ca="1">AL13-AL16</f>
        <v>6650.5599999999977</v>
      </c>
      <c r="AM17" s="88" t="e">
        <f ca="1">AM13-AM16</f>
        <v>#N/A</v>
      </c>
      <c r="AN17" s="88">
        <f>AN13-AN16</f>
        <v>12714.059999999998</v>
      </c>
      <c r="AO17" s="109" t="s">
        <v>114</v>
      </c>
      <c r="AP17" s="106"/>
      <c r="AQ17" s="106"/>
      <c r="AR17" s="110"/>
      <c r="AS17" s="88" t="e">
        <f>AS13-AS16</f>
        <v>#N/A</v>
      </c>
      <c r="AT17" s="88">
        <f>AT13-AT16</f>
        <v>19914.059999999998</v>
      </c>
      <c r="AU17" s="2"/>
      <c r="AV17" s="2"/>
      <c r="AW17" s="2"/>
      <c r="AX17" s="2"/>
      <c r="AY17" s="2"/>
      <c r="AZ17" s="109" t="s">
        <v>114</v>
      </c>
      <c r="BA17" s="106"/>
      <c r="BB17" s="106"/>
      <c r="BC17" s="110"/>
    </row>
    <row r="18" spans="1:55" ht="15.75" customHeight="1" thickBot="1" x14ac:dyDescent="0.4">
      <c r="A18" s="2"/>
      <c r="B18" s="52"/>
      <c r="C18" s="56" t="s">
        <v>56</v>
      </c>
      <c r="D18" s="73">
        <f ca="1">IF(OR(Año=0,Años_cotizados=0)=TRUE,"",VLOOKUP(E14,K24:L27,2,0)+MAX(0,15-R42-IF(S42=0,0,1)))</f>
        <v>70</v>
      </c>
      <c r="E18" s="73">
        <f ca="1">IF(OR(Año=0,Años_cotizados=0)=TRUE,"",IF(R42&gt;=15,0,IF(S42=0,0,12-S42)))</f>
        <v>0</v>
      </c>
      <c r="F18" s="55" t="s">
        <v>126</v>
      </c>
      <c r="G18" s="69">
        <f ca="1">IF(OR(Año=0,Años_cotizados=0,Años_edad_jubilación=0)=TRUE,"",Y55*((1+S30)/(1+S31))^(YEAR(R36)-YEAR(R37)))</f>
        <v>44450.559999999998</v>
      </c>
      <c r="H18" s="70" t="str">
        <f ca="1">IFERROR(CONCATENATE(ROUND(G18/G6*100,2),"%"),"")</f>
        <v>98,78%</v>
      </c>
      <c r="I18" s="1"/>
      <c r="J18" s="2"/>
      <c r="K18" s="29">
        <v>8</v>
      </c>
      <c r="L18" s="138">
        <v>39283.61</v>
      </c>
      <c r="M18" s="2"/>
      <c r="N18" s="2"/>
      <c r="O18" s="2">
        <v>73</v>
      </c>
      <c r="P18" s="6">
        <f t="shared" si="0"/>
        <v>13.52850759766377</v>
      </c>
      <c r="Q18" s="6">
        <f t="shared" si="1"/>
        <v>15.927824979128612</v>
      </c>
      <c r="R18" s="2"/>
      <c r="S18" s="2"/>
      <c r="T18" s="7">
        <v>2026</v>
      </c>
      <c r="U18" s="8">
        <v>25</v>
      </c>
      <c r="V18" s="9">
        <f>66+(10/12)</f>
        <v>66.833333333333329</v>
      </c>
      <c r="W18" s="9">
        <f>38+(3/12)</f>
        <v>38.25</v>
      </c>
      <c r="X18" s="10">
        <v>49</v>
      </c>
      <c r="Y18" s="11">
        <v>2.0999999999999999E-3</v>
      </c>
      <c r="Z18" s="10">
        <v>258</v>
      </c>
      <c r="AA18" s="12">
        <v>1.9E-3</v>
      </c>
      <c r="AB18" s="2"/>
      <c r="AC18" s="2"/>
      <c r="AD18" s="2"/>
      <c r="AE18" s="7">
        <v>2026</v>
      </c>
      <c r="AF18" s="77">
        <f>ROUND(AF17*(AG9/AG14)^(1/5),4)</f>
        <v>0.96509999999999996</v>
      </c>
      <c r="AG18" s="7">
        <v>19.867248945</v>
      </c>
      <c r="AH18" s="2"/>
      <c r="AI18" s="2"/>
      <c r="AJ18" s="113" t="s">
        <v>115</v>
      </c>
      <c r="AK18" s="114"/>
      <c r="AL18" s="88">
        <f ca="1">VLOOKUP(AL13,$AO$7:$AR$12,3)</f>
        <v>8725.5</v>
      </c>
      <c r="AM18" s="88" t="e">
        <f t="shared" ref="AM18:AN18" ca="1" si="10">VLOOKUP(AM13,$AO$7:$AR$12,3)</f>
        <v>#N/A</v>
      </c>
      <c r="AN18" s="88">
        <f t="shared" si="10"/>
        <v>8725.5</v>
      </c>
      <c r="AO18" s="140">
        <v>14852</v>
      </c>
      <c r="AP18" s="140">
        <v>7302</v>
      </c>
      <c r="AQ18" s="140">
        <v>1.75</v>
      </c>
      <c r="AR18" s="110"/>
      <c r="AS18" s="88" t="e">
        <f>VLOOKUP(AS13,$AZ$7:$BC$12,3)</f>
        <v>#N/A</v>
      </c>
      <c r="AT18" s="88">
        <f>VLOOKUP(AT13,AV7:AY16,2)*2</f>
        <v>7105</v>
      </c>
      <c r="AU18" s="2"/>
      <c r="AV18" s="2"/>
      <c r="AW18" s="2"/>
      <c r="AX18" s="2"/>
      <c r="AY18" s="2"/>
      <c r="AZ18" s="96">
        <f t="shared" si="8"/>
        <v>15416.376</v>
      </c>
      <c r="BA18" s="96">
        <f t="shared" si="8"/>
        <v>7579.4760000000006</v>
      </c>
      <c r="BB18" s="106"/>
      <c r="BC18" s="110"/>
    </row>
    <row r="19" spans="1:55" ht="15.75" customHeight="1" thickBot="1" x14ac:dyDescent="0.4">
      <c r="A19" s="2"/>
      <c r="B19" s="52"/>
      <c r="C19" s="56" t="s">
        <v>67</v>
      </c>
      <c r="D19" s="73">
        <f ca="1">IF(OR(Año=0,Años_cotizados=0)=TRUE,"",IF(E14&lt;&gt;K26,MIN(D18,MAX(60,R43)),D18))</f>
        <v>60</v>
      </c>
      <c r="E19" s="73">
        <f ca="1">IF(OR(Año=0,Años_cotizados=0)=TRUE,"",IF(D19=D18,E18,IF(D19=R43,S43,0)))</f>
        <v>0</v>
      </c>
      <c r="F19" s="55" t="s">
        <v>127</v>
      </c>
      <c r="G19" s="69">
        <f ca="1">G18*(1-AL23)/14</f>
        <v>2451.3466285714285</v>
      </c>
      <c r="H19" s="51"/>
      <c r="I19" s="1"/>
      <c r="J19" s="2"/>
      <c r="K19" s="29">
        <v>6</v>
      </c>
      <c r="L19" s="138">
        <v>30170.49</v>
      </c>
      <c r="M19" s="2"/>
      <c r="N19" s="2"/>
      <c r="O19" s="2">
        <v>74</v>
      </c>
      <c r="P19" s="6">
        <f t="shared" si="0"/>
        <v>12.904617160427348</v>
      </c>
      <c r="Q19" s="6">
        <f t="shared" si="1"/>
        <v>15.227426617077876</v>
      </c>
      <c r="R19" s="2"/>
      <c r="S19" s="2"/>
      <c r="T19" s="7">
        <v>2027</v>
      </c>
      <c r="U19" s="8">
        <v>25</v>
      </c>
      <c r="V19" s="9">
        <v>67</v>
      </c>
      <c r="W19" s="9">
        <f>38+(6/12)</f>
        <v>38.5</v>
      </c>
      <c r="X19" s="10">
        <v>248</v>
      </c>
      <c r="Y19" s="11">
        <v>1.9E-3</v>
      </c>
      <c r="Z19" s="10">
        <v>264</v>
      </c>
      <c r="AA19" s="12">
        <v>1.8E-3</v>
      </c>
      <c r="AB19" s="2"/>
      <c r="AC19" s="2"/>
      <c r="AD19" s="2"/>
      <c r="AE19" s="7">
        <v>2027</v>
      </c>
      <c r="AF19" s="77">
        <f>ROUND(AF18*(AG9/AG14)^(1/5),4)</f>
        <v>0.96120000000000005</v>
      </c>
      <c r="AG19" s="75">
        <v>19.933000980999999</v>
      </c>
      <c r="AH19" s="2"/>
      <c r="AI19" s="2"/>
      <c r="AJ19" s="113" t="s">
        <v>116</v>
      </c>
      <c r="AK19" s="114"/>
      <c r="AL19" s="88">
        <f ca="1">AL17*AL15</f>
        <v>2460.7071999999989</v>
      </c>
      <c r="AM19" s="88" t="e">
        <f ca="1">AM17*AM15</f>
        <v>#N/A</v>
      </c>
      <c r="AN19" s="88">
        <f>AN17*AN15</f>
        <v>4704.2021999999988</v>
      </c>
      <c r="AO19" s="140">
        <v>17673.52</v>
      </c>
      <c r="AP19" s="140">
        <v>2364.34</v>
      </c>
      <c r="AQ19" s="140">
        <v>1.1399999999999999</v>
      </c>
      <c r="AR19" s="110"/>
      <c r="AS19" s="88" t="e">
        <f>AS17*AS15</f>
        <v>#N/A</v>
      </c>
      <c r="AT19" s="88">
        <f>AT17*AT15</f>
        <v>7169.0615999999991</v>
      </c>
      <c r="AU19" s="2"/>
      <c r="AV19" s="2"/>
      <c r="AW19" s="2"/>
      <c r="AX19" s="2"/>
      <c r="AY19" s="2"/>
      <c r="AZ19" s="96">
        <f t="shared" si="8"/>
        <v>18345.11376</v>
      </c>
      <c r="BA19" s="115">
        <f>BA18/(AZ19-AZ18)</f>
        <v>2.5879667696844257</v>
      </c>
      <c r="BB19" s="116" t="s">
        <v>117</v>
      </c>
      <c r="BC19" s="116" t="s">
        <v>118</v>
      </c>
    </row>
    <row r="20" spans="1:55" ht="15.75" customHeight="1" thickBot="1" x14ac:dyDescent="0.4">
      <c r="A20" s="2"/>
      <c r="B20" s="52"/>
      <c r="C20" s="56" t="s">
        <v>69</v>
      </c>
      <c r="D20" s="65">
        <v>60</v>
      </c>
      <c r="E20" s="65">
        <v>0</v>
      </c>
      <c r="F20" s="55" t="s">
        <v>73</v>
      </c>
      <c r="G20" s="69">
        <f ca="1">IFERROR(MIN(S52,G7),"")</f>
        <v>988.00461458122959</v>
      </c>
      <c r="H20" s="51"/>
      <c r="I20" s="1"/>
      <c r="J20" s="2"/>
      <c r="K20" s="29">
        <v>4</v>
      </c>
      <c r="L20" s="138">
        <v>23869.85</v>
      </c>
      <c r="M20" s="2"/>
      <c r="N20" s="2"/>
      <c r="O20" s="2">
        <v>75</v>
      </c>
      <c r="P20" s="6">
        <f t="shared" si="0"/>
        <v>12.288735564389084</v>
      </c>
      <c r="Q20" s="6">
        <f t="shared" si="1"/>
        <v>14.533261073841109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7">
        <v>2028</v>
      </c>
      <c r="AF20" s="77">
        <f>ROUND(AF19*(AG9/AG14)^(1/5),4)</f>
        <v>0.95730000000000004</v>
      </c>
      <c r="AG20" s="7">
        <v>19.998014050999998</v>
      </c>
      <c r="AH20" s="2"/>
      <c r="AI20" s="2"/>
      <c r="AJ20" s="113" t="s">
        <v>108</v>
      </c>
      <c r="AK20" s="114"/>
      <c r="AL20" s="88">
        <f>AL9*$AR$7</f>
        <v>1054.5</v>
      </c>
      <c r="AM20" s="88">
        <f>AM9*$AR$7</f>
        <v>1054.5</v>
      </c>
      <c r="AN20" s="88">
        <f ca="1">AN9*AR7</f>
        <v>1054.5</v>
      </c>
      <c r="AO20" s="140">
        <v>19747.5</v>
      </c>
      <c r="AP20" s="140"/>
      <c r="AQ20" s="140" t="s">
        <v>117</v>
      </c>
      <c r="AR20" s="116" t="s">
        <v>118</v>
      </c>
      <c r="AS20" s="88">
        <f>AS9*$BC$7</f>
        <v>1094.5710000000001</v>
      </c>
      <c r="AT20" s="88">
        <f ca="1">AT9*AY7*2</f>
        <v>1110</v>
      </c>
      <c r="AU20" s="2"/>
      <c r="AV20" s="2"/>
      <c r="AW20" s="2"/>
      <c r="AX20" s="2"/>
      <c r="AY20" s="2"/>
      <c r="AZ20" s="117"/>
      <c r="BA20" s="117" t="s">
        <v>119</v>
      </c>
      <c r="BB20" s="96">
        <f>AQ21*(1+$BA$3)</f>
        <v>2698.8</v>
      </c>
      <c r="BC20" s="96">
        <f>AR21*(1+$BA$3)</f>
        <v>2076</v>
      </c>
    </row>
    <row r="21" spans="1:55" ht="15.75" customHeight="1" thickBot="1" x14ac:dyDescent="0.4">
      <c r="A21" s="2"/>
      <c r="B21" s="59"/>
      <c r="C21" s="60"/>
      <c r="D21" s="60"/>
      <c r="E21" s="60"/>
      <c r="F21" s="60" t="s">
        <v>136</v>
      </c>
      <c r="G21" s="71">
        <f ca="1">IFERROR(ROUND(R50/S52*G20,2)+G18,"")</f>
        <v>45000</v>
      </c>
      <c r="H21" s="72" t="str">
        <f ca="1">IFERROR(CONCATENATE(ROUND(G21/G6*100,2),"%"),"")</f>
        <v>100%</v>
      </c>
      <c r="I21" s="1"/>
      <c r="J21" s="2"/>
      <c r="K21" s="29">
        <v>3</v>
      </c>
      <c r="L21" s="138">
        <v>20350.96</v>
      </c>
      <c r="M21" s="2"/>
      <c r="N21" s="2"/>
      <c r="O21" s="2">
        <v>76</v>
      </c>
      <c r="P21" s="6">
        <f t="shared" si="0"/>
        <v>11.678056677344195</v>
      </c>
      <c r="Q21" s="6">
        <f t="shared" si="1"/>
        <v>13.845635614617429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7">
        <v>2029</v>
      </c>
      <c r="AF21" s="76">
        <f>ROUND(AF20*(AG14/AG19)^(1/5),4)</f>
        <v>0.95389999999999997</v>
      </c>
      <c r="AG21" s="7">
        <v>20.060478066999998</v>
      </c>
      <c r="AH21" s="2"/>
      <c r="AI21" s="2"/>
      <c r="AJ21" s="113" t="s">
        <v>120</v>
      </c>
      <c r="AK21" s="114"/>
      <c r="AL21" s="88">
        <f ca="1">MAX(MIN(AL19+AL18-AL20,$AQ$23*(AL5-$AQ$24)),0)</f>
        <v>10131.707199999999</v>
      </c>
      <c r="AM21" s="88" t="e">
        <f ca="1">MAX(MIN(AM19+AM18-AM20,$AQ$23*(AM5-$AQ$24)),0)</f>
        <v>#N/A</v>
      </c>
      <c r="AN21" s="88">
        <f ca="1">MAX(MIN(AN19+AN18-AN20,$AR$23*(AN5-$AR$24)),0)</f>
        <v>12375.2022</v>
      </c>
      <c r="AO21" s="117"/>
      <c r="AP21" s="117" t="s">
        <v>119</v>
      </c>
      <c r="AQ21" s="106">
        <v>2600</v>
      </c>
      <c r="AR21" s="110">
        <v>2000</v>
      </c>
      <c r="AS21" s="88" t="e">
        <f>MAX(MIN(AS19+AS18-AS20,$BB$22*(AS5-$BB$23)),0)</f>
        <v>#N/A</v>
      </c>
      <c r="AT21" s="88">
        <f ca="1">MAX(MIN(AT19+AT18-AT20,$AR$23*(AT5-$AR$24)),0)</f>
        <v>13164.061599999999</v>
      </c>
      <c r="AU21" s="79">
        <f ca="1">AN21/2+AT21/2</f>
        <v>12769.6319</v>
      </c>
      <c r="AV21" s="2"/>
      <c r="AW21" s="2"/>
      <c r="AX21" s="2"/>
      <c r="AY21" s="2"/>
      <c r="AZ21" s="117"/>
      <c r="BA21" s="117" t="s">
        <v>104</v>
      </c>
      <c r="BB21" s="118">
        <v>0</v>
      </c>
      <c r="BC21" s="119">
        <v>5.5500000000000001E-2</v>
      </c>
    </row>
    <row r="22" spans="1:55" ht="15.75" customHeight="1" thickBot="1" x14ac:dyDescent="0.4">
      <c r="A22" s="2"/>
      <c r="B22" s="162" t="s">
        <v>70</v>
      </c>
      <c r="C22" s="162"/>
      <c r="D22" s="162"/>
      <c r="E22" s="162"/>
      <c r="F22" s="162"/>
      <c r="G22" s="162"/>
      <c r="H22" s="162"/>
      <c r="J22" s="2"/>
      <c r="K22" s="13"/>
      <c r="L22" s="13"/>
      <c r="M22" s="2"/>
      <c r="N22" s="2"/>
      <c r="O22" s="2">
        <v>77</v>
      </c>
      <c r="P22" s="6">
        <f t="shared" si="0"/>
        <v>11.073519822988564</v>
      </c>
      <c r="Q22" s="6">
        <f t="shared" si="1"/>
        <v>13.161595313026654</v>
      </c>
      <c r="R22" s="2"/>
      <c r="S22" s="2"/>
      <c r="T22" s="2"/>
      <c r="U22" s="2"/>
      <c r="V22" s="2"/>
      <c r="W22" s="2"/>
      <c r="X22" s="7" t="s">
        <v>84</v>
      </c>
      <c r="Y22" s="7"/>
      <c r="Z22" s="2"/>
      <c r="AA22" s="2"/>
      <c r="AB22" s="2"/>
      <c r="AC22" s="2"/>
      <c r="AD22" s="2"/>
      <c r="AE22" s="7">
        <v>2030</v>
      </c>
      <c r="AF22" s="77">
        <f>ROUND(AF21*(AG14/AG19)^(1/5),4)</f>
        <v>0.95050000000000001</v>
      </c>
      <c r="AG22" s="7">
        <v>20.121540673999998</v>
      </c>
      <c r="AH22" s="2"/>
      <c r="AI22" s="2"/>
      <c r="AJ22" s="120" t="s">
        <v>121</v>
      </c>
      <c r="AK22" s="121"/>
      <c r="AL22" s="122">
        <f ca="1">AL7-AL21-AL11*AL5</f>
        <v>34318.852800000001</v>
      </c>
      <c r="AM22" s="122" t="e">
        <f ca="1">AM7-AM21-AM11*AM5</f>
        <v>#N/A</v>
      </c>
      <c r="AN22" s="122">
        <f ca="1">AN7-AN21-AN11*AN5</f>
        <v>34768.627469999999</v>
      </c>
      <c r="AO22" s="117"/>
      <c r="AP22" s="117" t="s">
        <v>104</v>
      </c>
      <c r="AQ22" s="118">
        <v>0</v>
      </c>
      <c r="AR22" s="119">
        <v>6.4699999999999994E-2</v>
      </c>
      <c r="AS22" s="122" t="e">
        <f>AS7-AS21-AS11*AS5</f>
        <v>#N/A</v>
      </c>
      <c r="AT22" s="122">
        <f ca="1">AT7-AT21-AT11*AT5</f>
        <v>35868.768069999998</v>
      </c>
      <c r="AU22" s="2">
        <f ca="1">AN22/2+AT22/2</f>
        <v>35318.697769999999</v>
      </c>
      <c r="AV22" s="2"/>
      <c r="AW22" s="2"/>
      <c r="AX22" s="2"/>
      <c r="AY22" s="2"/>
      <c r="AZ22" s="117"/>
      <c r="BA22" s="117" t="s">
        <v>122</v>
      </c>
      <c r="BB22" s="123">
        <v>0.43</v>
      </c>
      <c r="BC22" s="124">
        <v>0.43</v>
      </c>
    </row>
    <row r="23" spans="1:55" ht="15.75" customHeight="1" x14ac:dyDescent="0.35">
      <c r="A23" s="2"/>
      <c r="B23" s="125" t="str">
        <f ca="1">IFERROR(IF(OR(Año=0,Años_cotizados=0,Años_edad_jubilación=0)=TRUE,"",IF(R37&lt;R36,"La fecha de jubilación es anterior a la actual: aumente el año de nacimiento o la edad de jubilación para una simulación válida",IF(SUM(G10:G12)+SUM(H10:H12)/12&gt;YEAR(TODAY())-Año-16,"El tiempo de servicio no puede dar lugar al ingreso antes de los 16 años: disminuya su valor para una simulación válida",IF(Años_edad_jubilación+E20/12&lt;D19+E19/12,"Edad de jubilación incoherente: aumente su valor para una simulación válida","")))),"")</f>
        <v/>
      </c>
      <c r="F23" s="137"/>
      <c r="G23" s="137"/>
      <c r="H23" s="137"/>
      <c r="I23" s="2"/>
      <c r="K23" s="38" t="s">
        <v>55</v>
      </c>
      <c r="L23" s="37"/>
      <c r="M23" s="37"/>
      <c r="N23" s="2"/>
      <c r="O23" s="2">
        <v>78</v>
      </c>
      <c r="P23" s="6">
        <f t="shared" si="0"/>
        <v>10.480104455678124</v>
      </c>
      <c r="Q23" s="6">
        <f t="shared" si="1"/>
        <v>12.4866829644329</v>
      </c>
      <c r="R23" s="2"/>
      <c r="S23" s="2"/>
      <c r="T23" s="2"/>
      <c r="U23" s="2"/>
      <c r="V23" s="2"/>
      <c r="W23" s="2"/>
      <c r="X23" s="7">
        <v>1</v>
      </c>
      <c r="Y23" s="82">
        <v>0.04</v>
      </c>
      <c r="Z23" s="2"/>
      <c r="AA23" s="2"/>
      <c r="AB23" s="2"/>
      <c r="AC23" s="2"/>
      <c r="AD23" s="2"/>
      <c r="AE23" s="7">
        <v>2031</v>
      </c>
      <c r="AF23" s="77">
        <f>ROUND(AF22*(AG14/AG19)^(1/5),4)</f>
        <v>0.94720000000000004</v>
      </c>
      <c r="AG23" s="7">
        <v>20.180567599</v>
      </c>
      <c r="AH23" s="2"/>
      <c r="AI23" s="2"/>
      <c r="AJ23" s="111" t="s">
        <v>123</v>
      </c>
      <c r="AK23" s="112"/>
      <c r="AL23" s="102">
        <f ca="1">AL21/AL7</f>
        <v>0.2279320485501195</v>
      </c>
      <c r="AM23" s="102" t="e">
        <f ca="1">AM21/AM7</f>
        <v>#N/A</v>
      </c>
      <c r="AN23" s="102">
        <f ca="1">AN21/AN7</f>
        <v>0.24793018640439188</v>
      </c>
      <c r="AO23" s="117"/>
      <c r="AP23" s="117" t="s">
        <v>122</v>
      </c>
      <c r="AQ23" s="123">
        <v>0.43</v>
      </c>
      <c r="AR23" s="124">
        <v>0.43</v>
      </c>
      <c r="AS23" s="102" t="e">
        <f>AS21/AS7</f>
        <v>#N/A</v>
      </c>
      <c r="AT23" s="102">
        <f ca="1">AT21/$AT$7</f>
        <v>0.25357411075149966</v>
      </c>
      <c r="AU23" s="102">
        <f ca="1">AU21/$AT$13</f>
        <v>0.25583236266494852</v>
      </c>
      <c r="AV23" s="2" t="s">
        <v>145</v>
      </c>
      <c r="AW23" s="2"/>
      <c r="AX23" s="2"/>
      <c r="AY23" s="2"/>
      <c r="AZ23" s="117"/>
      <c r="BA23" s="117" t="s">
        <v>124</v>
      </c>
      <c r="BB23" s="96">
        <f>AQ24*(1+$BA$3)</f>
        <v>16479.288</v>
      </c>
      <c r="BC23" s="96">
        <f>AR24*(1+$BA$3)</f>
        <v>16479.288</v>
      </c>
    </row>
    <row r="24" spans="1:55" ht="15.75" customHeight="1" x14ac:dyDescent="0.35">
      <c r="A24" s="2"/>
      <c r="B24" s="58"/>
      <c r="C24" s="58"/>
      <c r="D24" s="58"/>
      <c r="E24" s="58"/>
      <c r="F24" s="137"/>
      <c r="G24" s="137"/>
      <c r="H24" s="137"/>
      <c r="I24" s="2"/>
      <c r="J24" s="2"/>
      <c r="K24" s="13" t="s">
        <v>57</v>
      </c>
      <c r="L24" s="13">
        <v>70</v>
      </c>
      <c r="M24" s="2"/>
      <c r="N24" s="2"/>
      <c r="O24" s="2">
        <v>79</v>
      </c>
      <c r="P24" s="6">
        <f t="shared" si="0"/>
        <v>9.902896900376561</v>
      </c>
      <c r="Q24" s="6">
        <f t="shared" si="1"/>
        <v>11.822909154060739</v>
      </c>
      <c r="R24" s="2"/>
      <c r="S24" s="2"/>
      <c r="T24" s="2"/>
      <c r="U24" s="2"/>
      <c r="V24" s="2"/>
      <c r="W24" s="2"/>
      <c r="X24" s="7">
        <v>25</v>
      </c>
      <c r="Y24" s="82">
        <v>0.04</v>
      </c>
      <c r="Z24" s="2"/>
      <c r="AA24" s="2"/>
      <c r="AB24" s="2"/>
      <c r="AC24" s="2"/>
      <c r="AD24" s="2"/>
      <c r="AE24" s="7">
        <v>2032</v>
      </c>
      <c r="AF24" s="77">
        <f>ROUND(AF23*(AG14/AG19)^(1/5),4)</f>
        <v>0.94389999999999996</v>
      </c>
      <c r="AG24" s="75">
        <v>20.238126212000001</v>
      </c>
      <c r="AH24" s="2"/>
      <c r="AI24" s="2"/>
      <c r="AJ24" s="2"/>
      <c r="AK24" s="2"/>
      <c r="AL24" s="2"/>
      <c r="AM24" s="2"/>
      <c r="AN24" s="2"/>
      <c r="AO24" s="117"/>
      <c r="AP24" s="117" t="s">
        <v>124</v>
      </c>
      <c r="AQ24" s="140">
        <v>15876</v>
      </c>
      <c r="AR24" s="141">
        <v>15876</v>
      </c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5" ht="15.5" x14ac:dyDescent="0.35">
      <c r="A25" s="2"/>
      <c r="B25" s="58"/>
      <c r="C25" s="58"/>
      <c r="D25" s="58"/>
      <c r="E25" s="58"/>
      <c r="F25" s="137"/>
      <c r="G25" s="137"/>
      <c r="H25" s="137"/>
      <c r="I25" s="2"/>
      <c r="J25" s="2"/>
      <c r="K25" s="13" t="s">
        <v>54</v>
      </c>
      <c r="L25" s="13">
        <v>70</v>
      </c>
      <c r="M25" s="2"/>
      <c r="N25" s="2"/>
      <c r="O25" s="2">
        <v>80</v>
      </c>
      <c r="P25" s="6">
        <f t="shared" si="0"/>
        <v>9.3373655386605332</v>
      </c>
      <c r="Q25" s="6">
        <f t="shared" si="1"/>
        <v>11.171615983317073</v>
      </c>
      <c r="R25" s="2"/>
      <c r="S25" s="2"/>
      <c r="T25" s="2"/>
      <c r="U25" s="2"/>
      <c r="V25" s="2"/>
      <c r="W25" s="2"/>
      <c r="X25" s="7">
        <v>37</v>
      </c>
      <c r="Y25" s="82">
        <v>0.04</v>
      </c>
      <c r="Z25" s="2"/>
      <c r="AA25" s="2"/>
      <c r="AB25" s="2"/>
      <c r="AC25" s="2"/>
      <c r="AD25" s="2"/>
      <c r="AE25" s="7">
        <v>2033</v>
      </c>
      <c r="AF25" s="77">
        <f>ROUND(AF24*(AG14/AG19)^(1/5),4)</f>
        <v>0.94059999999999999</v>
      </c>
      <c r="AG25" s="7">
        <v>20.294187558000001</v>
      </c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5" ht="15.5" x14ac:dyDescent="0.35">
      <c r="F26" s="137"/>
      <c r="G26" s="137"/>
      <c r="H26" s="137"/>
      <c r="I26" s="31"/>
      <c r="J26" s="2"/>
      <c r="K26" s="13" t="s">
        <v>82</v>
      </c>
      <c r="L26" s="13">
        <v>70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7">
        <v>2034</v>
      </c>
      <c r="AF26" s="76">
        <f>ROUND(AF25*(AG19/AG24)^(1/5),4)</f>
        <v>0.93769999999999998</v>
      </c>
      <c r="AG26" s="7">
        <v>20.348723203999999</v>
      </c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5" ht="15.5" x14ac:dyDescent="0.35">
      <c r="A27" s="2"/>
      <c r="F27" s="137"/>
      <c r="G27" s="137"/>
      <c r="H27" s="137"/>
      <c r="I27" s="2"/>
      <c r="J27" s="2"/>
      <c r="K27" s="13" t="s">
        <v>80</v>
      </c>
      <c r="L27" s="13">
        <v>65</v>
      </c>
      <c r="M27" s="2"/>
      <c r="N27" s="2"/>
      <c r="O27" s="152" t="s">
        <v>36</v>
      </c>
      <c r="P27" s="153"/>
      <c r="Q27" s="153"/>
      <c r="R27" s="153"/>
      <c r="S27" s="153"/>
      <c r="T27" s="153"/>
      <c r="U27" s="153"/>
      <c r="V27" s="154"/>
      <c r="W27" s="2"/>
      <c r="X27" s="2"/>
      <c r="Y27" s="2"/>
      <c r="Z27" s="2"/>
      <c r="AA27" s="2"/>
      <c r="AB27" s="2"/>
      <c r="AC27" s="2"/>
      <c r="AD27" s="2"/>
      <c r="AE27" s="7">
        <v>2035</v>
      </c>
      <c r="AF27" s="77">
        <f>ROUND(AF26*(AG19/AG24)^(1/5),4)</f>
        <v>0.93489999999999995</v>
      </c>
      <c r="AG27" s="7">
        <v>20.401705276000001</v>
      </c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5" ht="15.5" x14ac:dyDescent="0.35">
      <c r="A28" s="2"/>
      <c r="I28" s="2"/>
      <c r="J28" s="2"/>
      <c r="K28" s="13"/>
      <c r="L28" s="13"/>
      <c r="M28" s="2"/>
      <c r="N28" s="2"/>
      <c r="O28" s="2"/>
      <c r="P28" s="21"/>
      <c r="Q28" s="21"/>
      <c r="R28" s="2"/>
      <c r="S28" s="2"/>
      <c r="T28" s="2"/>
      <c r="U28" s="2"/>
      <c r="V28" s="2"/>
      <c r="W28" s="2"/>
      <c r="AB28" s="2"/>
      <c r="AC28" s="2"/>
      <c r="AD28" s="2"/>
      <c r="AE28" s="7">
        <v>2036</v>
      </c>
      <c r="AF28" s="77">
        <f>ROUND(AF27*(AG19/AG24)^(1/5),4)</f>
        <v>0.93210000000000004</v>
      </c>
      <c r="AG28" s="7">
        <v>20.453106486999999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5" ht="16.5" customHeight="1" x14ac:dyDescent="0.35">
      <c r="A29" s="2"/>
      <c r="I29" s="2"/>
      <c r="J29" s="2"/>
      <c r="K29" s="2" t="s">
        <v>9</v>
      </c>
      <c r="L29" s="13"/>
      <c r="M29" s="2"/>
      <c r="N29" s="2"/>
      <c r="O29" s="2"/>
      <c r="P29" s="2"/>
      <c r="Q29" s="2"/>
      <c r="R29" s="3" t="s">
        <v>37</v>
      </c>
      <c r="S29" s="22">
        <v>0.03</v>
      </c>
      <c r="T29" s="2"/>
      <c r="U29" s="2"/>
      <c r="V29" s="2"/>
      <c r="W29" s="2"/>
      <c r="AB29" s="2"/>
      <c r="AC29" s="2"/>
      <c r="AD29" s="2"/>
      <c r="AE29" s="7">
        <v>2037</v>
      </c>
      <c r="AF29" s="77">
        <f>ROUND(AF28*(AG19/AG24)^(1/5),4)</f>
        <v>0.92930000000000001</v>
      </c>
      <c r="AG29" s="75">
        <v>20.50290017</v>
      </c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5" ht="15.5" x14ac:dyDescent="0.35">
      <c r="A30" s="2"/>
      <c r="I30" s="2"/>
      <c r="J30" s="2"/>
      <c r="K30" s="2" t="s">
        <v>0</v>
      </c>
      <c r="L30" s="13"/>
      <c r="M30" s="2"/>
      <c r="N30" s="2"/>
      <c r="O30" s="2"/>
      <c r="P30" s="2"/>
      <c r="Q30" s="2"/>
      <c r="R30" s="3" t="s">
        <v>38</v>
      </c>
      <c r="S30" s="22">
        <v>0.02</v>
      </c>
      <c r="T30" s="2"/>
      <c r="U30" s="2"/>
      <c r="V30" s="2"/>
      <c r="W30" s="2"/>
      <c r="AB30" s="2"/>
      <c r="AC30" s="2"/>
      <c r="AD30" s="2"/>
      <c r="AE30" s="7">
        <v>2038</v>
      </c>
      <c r="AF30" s="77">
        <f>ROUND(AF29*(AG19/AG24)^(1/5),4)</f>
        <v>0.92649999999999999</v>
      </c>
      <c r="AG30" s="7">
        <v>20.551687278999999</v>
      </c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5" ht="16.5" customHeight="1" x14ac:dyDescent="0.35">
      <c r="A31" s="2"/>
      <c r="F31" s="2"/>
      <c r="G31" s="2"/>
      <c r="H31" s="2"/>
      <c r="I31" s="2"/>
      <c r="J31" s="2"/>
      <c r="K31" s="13"/>
      <c r="L31" s="13"/>
      <c r="M31" s="2"/>
      <c r="N31" s="2"/>
      <c r="O31" s="2"/>
      <c r="P31" s="2"/>
      <c r="Q31" s="2"/>
      <c r="R31" s="3" t="s">
        <v>81</v>
      </c>
      <c r="S31" s="22">
        <v>0.02</v>
      </c>
      <c r="T31" s="2"/>
      <c r="U31" s="2"/>
      <c r="V31" s="2"/>
      <c r="W31" s="2"/>
      <c r="AB31" s="2"/>
      <c r="AC31" s="2"/>
      <c r="AD31" s="2"/>
      <c r="AE31" s="7">
        <v>2039</v>
      </c>
      <c r="AF31" s="76">
        <f>ROUND(AF30*(AG24/AG29)^(1/5),4)</f>
        <v>0.92410000000000003</v>
      </c>
      <c r="AG31" s="7">
        <v>20.598821331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1:55" ht="15.5" x14ac:dyDescent="0.35">
      <c r="A32" s="2"/>
      <c r="F32" s="2"/>
      <c r="G32" s="2"/>
      <c r="H32" s="2"/>
      <c r="I32" s="2"/>
      <c r="K32" s="159" t="s">
        <v>60</v>
      </c>
      <c r="L32" s="159"/>
      <c r="M32" s="2"/>
      <c r="N32" s="2"/>
      <c r="O32" s="2"/>
      <c r="P32" s="2"/>
      <c r="Q32" s="2"/>
      <c r="R32" s="23" t="s">
        <v>39</v>
      </c>
      <c r="S32" s="22">
        <v>1</v>
      </c>
      <c r="T32" s="2"/>
      <c r="U32" s="2"/>
      <c r="V32" s="2"/>
      <c r="W32" s="2"/>
      <c r="AB32" s="2"/>
      <c r="AC32" s="2"/>
      <c r="AD32" s="2"/>
      <c r="AE32" s="7">
        <v>2040</v>
      </c>
      <c r="AF32" s="77">
        <f>ROUND(AF31*(AG24/AG29)^(1/5),4)</f>
        <v>0.92169999999999996</v>
      </c>
      <c r="AG32" s="7">
        <v>20.644910178</v>
      </c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1:54" ht="15.5" x14ac:dyDescent="0.35">
      <c r="A33" s="2"/>
      <c r="F33" s="2"/>
      <c r="G33" s="2"/>
      <c r="H33" s="2"/>
      <c r="I33" s="2"/>
      <c r="K33" s="36">
        <v>0</v>
      </c>
      <c r="L33" s="35"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AB33" s="2"/>
      <c r="AC33" s="2"/>
      <c r="AD33" s="2"/>
      <c r="AE33" s="7">
        <v>2041</v>
      </c>
      <c r="AF33" s="77">
        <f>ROUND(AF32*(AG24/AG29)^(1/5),4)</f>
        <v>0.91930000000000001</v>
      </c>
      <c r="AG33" s="7">
        <v>20.689937945</v>
      </c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4" ht="15.75" customHeight="1" x14ac:dyDescent="0.35">
      <c r="A34" s="2"/>
      <c r="F34" s="2"/>
      <c r="G34" s="2"/>
      <c r="H34" s="2"/>
      <c r="I34" s="2"/>
      <c r="K34" s="36">
        <v>1</v>
      </c>
      <c r="L34" s="35">
        <v>1.24</v>
      </c>
      <c r="M34" s="2"/>
      <c r="N34" s="2"/>
      <c r="O34" s="152" t="s">
        <v>40</v>
      </c>
      <c r="P34" s="153"/>
      <c r="Q34" s="153"/>
      <c r="R34" s="153"/>
      <c r="S34" s="153"/>
      <c r="T34" s="153"/>
      <c r="U34" s="153"/>
      <c r="V34" s="154"/>
      <c r="W34" s="2"/>
      <c r="AB34" s="2"/>
      <c r="AC34" s="2"/>
      <c r="AD34" s="2"/>
      <c r="AE34" s="7">
        <v>2042</v>
      </c>
      <c r="AF34" s="77">
        <f>ROUND(AF33*(AG24/AG29)^(1/5),4)</f>
        <v>0.91690000000000005</v>
      </c>
      <c r="AG34" s="75">
        <v>20.732612410000002</v>
      </c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1:54" ht="15.5" x14ac:dyDescent="0.35">
      <c r="A35" s="2"/>
      <c r="F35" s="2"/>
      <c r="G35" s="2"/>
      <c r="H35" s="2"/>
      <c r="I35" s="2"/>
      <c r="K35" s="36">
        <v>2</v>
      </c>
      <c r="L35" s="35">
        <v>2.5499999999999998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AB35" s="2"/>
      <c r="AC35" s="2"/>
      <c r="AD35" s="2"/>
      <c r="AE35" s="7">
        <v>2043</v>
      </c>
      <c r="AF35" s="77">
        <f>ROUND(AF34*(AG24/AG29)^(1/5),4)</f>
        <v>0.91449999999999998</v>
      </c>
      <c r="AG35" s="7">
        <v>20.774184285</v>
      </c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1:54" ht="15.5" x14ac:dyDescent="0.35">
      <c r="A36" s="2"/>
      <c r="F36" s="2"/>
      <c r="G36" s="2"/>
      <c r="H36" s="2"/>
      <c r="I36" s="2"/>
      <c r="K36" s="36">
        <v>3</v>
      </c>
      <c r="L36" s="35">
        <v>3.88</v>
      </c>
      <c r="M36" s="2"/>
      <c r="N36" s="2"/>
      <c r="O36" s="2"/>
      <c r="P36" s="2"/>
      <c r="Q36" s="3" t="s">
        <v>41</v>
      </c>
      <c r="R36" s="24">
        <f ca="1">TODAY()</f>
        <v>45364</v>
      </c>
      <c r="S36" s="2"/>
      <c r="T36" s="2" t="s">
        <v>134</v>
      </c>
      <c r="U36" s="2"/>
      <c r="V36" s="2"/>
      <c r="W36" s="2"/>
      <c r="AB36" s="2"/>
      <c r="AC36" s="2"/>
      <c r="AD36" s="2"/>
      <c r="AE36" s="7">
        <v>2044</v>
      </c>
      <c r="AF36" s="76">
        <f>ROUND(AF35*(AG29/AG34)^(1/5),4)</f>
        <v>0.91249999999999998</v>
      </c>
      <c r="AG36" s="7">
        <v>20.814638928000001</v>
      </c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1:54" ht="15.5" x14ac:dyDescent="0.35">
      <c r="A37" s="2"/>
      <c r="F37" s="2"/>
      <c r="G37" s="2"/>
      <c r="H37" s="16"/>
      <c r="I37" s="2"/>
      <c r="K37" s="36">
        <v>4</v>
      </c>
      <c r="L37" s="35">
        <v>5.31</v>
      </c>
      <c r="M37" s="2"/>
      <c r="N37" s="2"/>
      <c r="O37" s="2"/>
      <c r="P37" s="2"/>
      <c r="Q37" s="3" t="s">
        <v>42</v>
      </c>
      <c r="R37" s="24">
        <f>DATE(Año+Años_edad_jubilación+IF(D7+E20&gt;11,1,0),D7+E20-IF(D7+E20&gt;11,12,0),C7)</f>
        <v>49521</v>
      </c>
      <c r="S37" s="2"/>
      <c r="T37" s="129">
        <v>1</v>
      </c>
      <c r="U37" s="128" t="s">
        <v>135</v>
      </c>
      <c r="V37" s="2"/>
      <c r="W37" s="2"/>
      <c r="AB37" s="2"/>
      <c r="AC37" s="2"/>
      <c r="AD37" s="2"/>
      <c r="AE37" s="7">
        <v>2045</v>
      </c>
      <c r="AF37" s="77">
        <f>ROUND(AF36*(AG29/AG34)^(1/5),4)</f>
        <v>0.91049999999999998</v>
      </c>
      <c r="AG37" s="7">
        <v>20.853962008</v>
      </c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54" ht="15.5" x14ac:dyDescent="0.35">
      <c r="A38" s="2"/>
      <c r="B38" s="2"/>
      <c r="C38" s="2"/>
      <c r="D38" s="2"/>
      <c r="E38" s="2"/>
      <c r="F38" s="2"/>
      <c r="G38" s="2"/>
      <c r="H38" s="2"/>
      <c r="I38" s="2"/>
      <c r="K38" s="36">
        <v>5</v>
      </c>
      <c r="L38" s="35">
        <v>6.83</v>
      </c>
      <c r="V38" s="2"/>
      <c r="W38" s="2"/>
      <c r="AB38" s="2"/>
      <c r="AC38" s="2"/>
      <c r="AD38" s="2"/>
      <c r="AE38" s="7">
        <v>2046</v>
      </c>
      <c r="AF38" s="77">
        <f>ROUND(AF37*(AG29/AG34)^(1/5),4)</f>
        <v>0.90849999999999997</v>
      </c>
      <c r="AG38" s="7">
        <v>20.892139520000001</v>
      </c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1:54" ht="15.5" x14ac:dyDescent="0.35">
      <c r="A39" s="2"/>
      <c r="B39" s="2"/>
      <c r="C39" s="2"/>
      <c r="D39" s="2"/>
      <c r="E39" s="2"/>
      <c r="F39" s="2"/>
      <c r="G39" s="2"/>
      <c r="H39" s="2"/>
      <c r="I39" s="2"/>
      <c r="K39" s="36">
        <v>6</v>
      </c>
      <c r="L39" s="35">
        <v>8.43</v>
      </c>
      <c r="M39" s="2"/>
      <c r="N39" s="2"/>
      <c r="R39" s="21" t="s">
        <v>31</v>
      </c>
      <c r="S39" s="21" t="s">
        <v>32</v>
      </c>
      <c r="V39" s="2"/>
      <c r="W39" s="2"/>
      <c r="AB39" s="2"/>
      <c r="AC39" s="2"/>
      <c r="AD39" s="2"/>
      <c r="AE39" s="7">
        <v>2047</v>
      </c>
      <c r="AF39" s="77">
        <f>ROUND(AF38*(AG29/AG34)^(1/5),4)</f>
        <v>0.90649999999999997</v>
      </c>
      <c r="AG39" s="75">
        <v>20.929157796999998</v>
      </c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</row>
    <row r="40" spans="1:54" ht="15.5" x14ac:dyDescent="0.35">
      <c r="A40" s="2"/>
      <c r="B40" s="2"/>
      <c r="C40" s="2"/>
      <c r="D40" s="2"/>
      <c r="E40" s="2"/>
      <c r="F40" s="2"/>
      <c r="G40" s="2"/>
      <c r="H40" s="2"/>
      <c r="I40" s="2"/>
      <c r="K40" s="36">
        <v>7</v>
      </c>
      <c r="L40" s="35">
        <v>10.11</v>
      </c>
      <c r="M40" s="2"/>
      <c r="N40" s="2"/>
      <c r="Q40" s="3" t="s">
        <v>65</v>
      </c>
      <c r="R40" s="25">
        <f ca="1">INT(YEARFRAC(DATE(E7,D7,C7),TODAY(),1))</f>
        <v>48</v>
      </c>
      <c r="S40" s="25">
        <f ca="1">INT((YEARFRAC(DATE(E7,D7,C7),TODAY(),1)-R40)*12)</f>
        <v>7</v>
      </c>
      <c r="U40" s="80" t="s">
        <v>83</v>
      </c>
      <c r="V40" s="2">
        <f ca="1">INT(65-R40-S40/12+R41+S41/12)</f>
        <v>40</v>
      </c>
      <c r="W40" s="2">
        <f>SUMIF(E10:E12,"&gt;A",H10:H12)-INT(SUMIF(E10:E12,"&gt;A",H10:H12)/12)*12</f>
        <v>0</v>
      </c>
      <c r="AB40" s="2"/>
      <c r="AC40" s="2"/>
      <c r="AD40" s="2"/>
      <c r="AE40" s="7">
        <v>2048</v>
      </c>
      <c r="AF40" s="77">
        <f>ROUND(AF39*(AG29/AG34)^(1/5),4)</f>
        <v>0.90449999999999997</v>
      </c>
      <c r="AG40" s="7">
        <v>20.965003518</v>
      </c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</row>
    <row r="41" spans="1:54" ht="15.5" x14ac:dyDescent="0.35">
      <c r="A41" s="2"/>
      <c r="I41" s="2"/>
      <c r="K41" s="36">
        <v>8</v>
      </c>
      <c r="L41" s="35">
        <v>11.88</v>
      </c>
      <c r="M41" s="2"/>
      <c r="N41" s="2"/>
      <c r="O41" s="2"/>
      <c r="P41" s="2"/>
      <c r="Q41" s="3" t="s">
        <v>64</v>
      </c>
      <c r="R41" s="25">
        <f>SUMIF(E10:E12,"&gt;A",G10:G12)+INT(SUMIF(E10:E12,"&gt;A",H10:H12)/12)</f>
        <v>24</v>
      </c>
      <c r="S41" s="25">
        <f>SUMIF(E10:E12,"&gt;A",H10:H12)-INT(SUMIF(E10:E12,"&gt;A",H10:H12)/12)*12</f>
        <v>0</v>
      </c>
      <c r="U41" s="80" t="s">
        <v>84</v>
      </c>
      <c r="V41" s="81">
        <f ca="1">MAX(VLOOKUP(V40+W40/12,X23:Y25,2)*INT(YEARFRAC(DATE(E7,D7,C7),R37,0)-65),0)</f>
        <v>0</v>
      </c>
      <c r="W41" s="81">
        <f ca="1">ROUNDUP(IF(AND(R55&lt;R56,Q55&gt;R56),V41-R56/VLOOKUP(E10,K7:L12,2)+T44,0)*100,0)/100</f>
        <v>0</v>
      </c>
      <c r="X41" t="s">
        <v>132</v>
      </c>
      <c r="AB41" s="2"/>
      <c r="AC41" s="2"/>
      <c r="AD41" s="2"/>
      <c r="AE41" s="7">
        <v>2049</v>
      </c>
      <c r="AF41" s="76">
        <f>ROUND(AF40*(AG34/AG39)^(1/5),4)</f>
        <v>0.90280000000000005</v>
      </c>
      <c r="AG41" s="7">
        <v>20.999663724000001</v>
      </c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54" ht="15.5" x14ac:dyDescent="0.35">
      <c r="A42" s="2"/>
      <c r="B42" s="2"/>
      <c r="C42" s="2"/>
      <c r="D42" s="2"/>
      <c r="E42" s="2"/>
      <c r="F42" s="2"/>
      <c r="G42" s="2"/>
      <c r="H42" s="2"/>
      <c r="K42" s="36">
        <v>9</v>
      </c>
      <c r="L42" s="35">
        <v>13.73</v>
      </c>
      <c r="M42" s="2"/>
      <c r="N42" s="2"/>
      <c r="O42" s="2"/>
      <c r="P42" s="2"/>
      <c r="Q42" s="3" t="s">
        <v>77</v>
      </c>
      <c r="R42" s="25">
        <f ca="1">INT(VLOOKUP(E14,K24:L27,2,0)-R40-S40/12+R41+S41/12)</f>
        <v>45</v>
      </c>
      <c r="S42" s="25">
        <f ca="1">(-INT(VLOOKUP(E14,K24:L27,2,0)-R40-S40/12+R41+S41/12)+(VLOOKUP(E14,K24:L27,2,0)-R40-S40/12+R41+S41/12))*12</f>
        <v>5.0000000000000568</v>
      </c>
      <c r="V42" s="2"/>
      <c r="W42" s="2"/>
      <c r="AB42" s="2"/>
      <c r="AC42" s="2"/>
      <c r="AD42" s="2"/>
      <c r="AE42" s="7">
        <v>2050</v>
      </c>
      <c r="AF42" s="77">
        <f>ROUND(AF41*(AG34/AG39)^(1/5),4)</f>
        <v>0.90110000000000001</v>
      </c>
      <c r="AG42" s="7">
        <v>21.033125821999999</v>
      </c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54" ht="15.5" x14ac:dyDescent="0.35">
      <c r="A43" s="2"/>
      <c r="B43" s="17"/>
      <c r="C43" s="17"/>
      <c r="D43" s="17"/>
      <c r="E43" s="17"/>
      <c r="F43" s="17"/>
      <c r="G43" s="17"/>
      <c r="H43" s="2"/>
      <c r="I43" s="2"/>
      <c r="K43" s="36">
        <v>10</v>
      </c>
      <c r="L43" s="35">
        <v>15.67</v>
      </c>
      <c r="M43" s="2"/>
      <c r="N43" s="2"/>
      <c r="O43" s="2"/>
      <c r="Q43" s="3" t="s">
        <v>66</v>
      </c>
      <c r="R43" s="25">
        <f ca="1">INT((360-R41*12-S41+R40*12+S40)/12)</f>
        <v>54</v>
      </c>
      <c r="S43" s="25">
        <f ca="1">(360-R41*12-S41+R40*12+S40)-12*R43</f>
        <v>7</v>
      </c>
      <c r="T43" s="2" t="s">
        <v>63</v>
      </c>
      <c r="U43" s="2"/>
      <c r="V43" s="3" t="s">
        <v>141</v>
      </c>
      <c r="W43" s="27">
        <v>0</v>
      </c>
      <c r="AB43" s="2"/>
      <c r="AC43" s="2"/>
      <c r="AD43" s="2"/>
      <c r="AE43" s="7">
        <v>2051</v>
      </c>
      <c r="AF43" s="77">
        <f>ROUND(AF42*(AG34/AG39)^(1/5),4)</f>
        <v>0.89939999999999998</v>
      </c>
      <c r="AG43" s="7">
        <v>21.065377603999998</v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1:54" ht="15.5" x14ac:dyDescent="0.35">
      <c r="A44" s="2"/>
      <c r="B44" s="18"/>
      <c r="C44" s="19"/>
      <c r="D44" s="19"/>
      <c r="E44" s="19"/>
      <c r="F44" s="19"/>
      <c r="G44" s="2"/>
      <c r="H44" s="2"/>
      <c r="I44" s="2"/>
      <c r="K44" s="36">
        <v>11</v>
      </c>
      <c r="L44" s="35">
        <v>17.71</v>
      </c>
      <c r="M44" s="2"/>
      <c r="N44" s="2"/>
      <c r="O44" s="2"/>
      <c r="Q44" s="3" t="s">
        <v>61</v>
      </c>
      <c r="R44" s="25">
        <f ca="1">G10+INT(YEARFRAC(R36,R37,1)+H10/12)</f>
        <v>35</v>
      </c>
      <c r="S44" s="25">
        <f ca="1">INT(MOD((G10*12+H10+12*YEARFRAC(R36,R37,1)),12))</f>
        <v>4</v>
      </c>
      <c r="T44" s="22">
        <f ca="1">VLOOKUP(R44,$K$33:$L$68,2)/100</f>
        <v>1</v>
      </c>
      <c r="U44" s="2"/>
      <c r="V44" s="3" t="s">
        <v>140</v>
      </c>
      <c r="W44" s="27">
        <v>33.200000000000003</v>
      </c>
      <c r="AB44" s="2"/>
      <c r="AC44" s="2"/>
      <c r="AD44" s="2"/>
      <c r="AE44" s="7">
        <v>2052</v>
      </c>
      <c r="AF44" s="77">
        <f>ROUND(AF43*(AG34/AG39)^(1/5),4)</f>
        <v>0.89770000000000005</v>
      </c>
      <c r="AG44" s="75">
        <v>21.097399080999999</v>
      </c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54" ht="15.5" x14ac:dyDescent="0.35">
      <c r="A45" s="2"/>
      <c r="B45" s="18"/>
      <c r="C45" s="19"/>
      <c r="D45" s="19"/>
      <c r="E45" s="19"/>
      <c r="F45" s="19"/>
      <c r="G45" s="2"/>
      <c r="H45" s="2"/>
      <c r="I45" s="2"/>
      <c r="K45" s="36">
        <v>12</v>
      </c>
      <c r="L45" s="35">
        <v>19.86</v>
      </c>
      <c r="M45" s="2"/>
      <c r="N45" s="2"/>
      <c r="O45" s="2"/>
      <c r="P45" s="2"/>
      <c r="Q45" s="3" t="s">
        <v>72</v>
      </c>
      <c r="R45" s="25">
        <f ca="1">G11+R44+INT((H11+S44)/12)</f>
        <v>35</v>
      </c>
      <c r="S45" s="25">
        <f ca="1">+H11+S44-INT((H11+S44)/12)*12</f>
        <v>4</v>
      </c>
      <c r="T45" s="22">
        <f ca="1">VLOOKUP(R45,$K$33:$L$68,2)/100</f>
        <v>1</v>
      </c>
      <c r="U45" s="2"/>
      <c r="V45" s="3" t="s">
        <v>89</v>
      </c>
      <c r="W45" s="27">
        <f>W44*2</f>
        <v>66.400000000000006</v>
      </c>
      <c r="AB45" s="2"/>
      <c r="AC45" s="2"/>
      <c r="AD45" s="2"/>
      <c r="AE45" s="7">
        <v>2053</v>
      </c>
      <c r="AF45" s="77">
        <f>ROUND(AF44*(AG34/AG39)^(1/5),4)</f>
        <v>0.89600000000000002</v>
      </c>
      <c r="AG45" s="7">
        <v>21.128524380999998</v>
      </c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54" ht="15.5" x14ac:dyDescent="0.35">
      <c r="A46" s="2"/>
      <c r="B46" s="18"/>
      <c r="C46" s="19"/>
      <c r="D46" s="19"/>
      <c r="E46" s="19"/>
      <c r="F46" s="19"/>
      <c r="G46" s="2"/>
      <c r="H46" s="2"/>
      <c r="I46" s="2"/>
      <c r="K46" s="36">
        <v>13</v>
      </c>
      <c r="L46" s="35">
        <v>22.1</v>
      </c>
      <c r="M46" s="2"/>
      <c r="N46" s="2"/>
      <c r="O46" s="2"/>
      <c r="P46" s="2"/>
      <c r="Q46" s="3" t="s">
        <v>71</v>
      </c>
      <c r="R46" s="25">
        <f ca="1">G12+G11+R44+INT((H12+H11+S44)/12)</f>
        <v>35</v>
      </c>
      <c r="S46" s="25">
        <f ca="1">H12+H11+S44-INT((H12+H11+S44)/12)*12</f>
        <v>4</v>
      </c>
      <c r="T46" s="22">
        <f ca="1">VLOOKUP(R46,$K$33:$L$68,2)/100</f>
        <v>1</v>
      </c>
      <c r="U46" s="79"/>
      <c r="V46" s="3" t="s">
        <v>90</v>
      </c>
      <c r="W46" s="27">
        <f>W44*3</f>
        <v>99.600000000000009</v>
      </c>
      <c r="AB46" s="2"/>
      <c r="AC46" s="2"/>
      <c r="AD46" s="2"/>
      <c r="AE46" s="7">
        <v>2054</v>
      </c>
      <c r="AF46" s="76">
        <f>ROUND(AF45*(AG39/AG44)^(1/5),4)</f>
        <v>0.89459999999999995</v>
      </c>
      <c r="AG46" s="7">
        <v>21.157747323999999</v>
      </c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1:54" ht="15.5" x14ac:dyDescent="0.35">
      <c r="A47" s="2"/>
      <c r="B47" s="2"/>
      <c r="C47" s="2"/>
      <c r="D47" s="2"/>
      <c r="E47" s="2"/>
      <c r="F47" s="2"/>
      <c r="G47" s="2"/>
      <c r="H47" s="20"/>
      <c r="I47" s="2"/>
      <c r="K47" s="36">
        <v>14</v>
      </c>
      <c r="L47" s="35">
        <v>24.45</v>
      </c>
      <c r="M47" s="2"/>
      <c r="N47" s="2"/>
      <c r="O47" s="2"/>
      <c r="P47" s="2"/>
      <c r="Q47" s="3" t="s">
        <v>43</v>
      </c>
      <c r="R47" s="26">
        <f ca="1">FV(S30,YEAR(R37)-YEAR(R36),0,-G6)</f>
        <v>55951.84387775934</v>
      </c>
      <c r="S47" s="2">
        <f>S49*14</f>
        <v>44450.559999999998</v>
      </c>
      <c r="T47" s="2"/>
      <c r="U47" s="2"/>
      <c r="V47" s="3" t="s">
        <v>91</v>
      </c>
      <c r="W47" s="27">
        <f>W44*4</f>
        <v>132.80000000000001</v>
      </c>
      <c r="AB47" s="2"/>
      <c r="AC47" s="2"/>
      <c r="AD47" s="2"/>
      <c r="AE47" s="7">
        <v>2055</v>
      </c>
      <c r="AF47" s="77">
        <f>ROUND(AF46*(AG39/AG44)^(1/5),4)</f>
        <v>0.89319999999999999</v>
      </c>
      <c r="AG47" s="7">
        <v>21.186718705000001</v>
      </c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1:54" ht="15.5" x14ac:dyDescent="0.35">
      <c r="A48" s="2"/>
      <c r="B48" s="2"/>
      <c r="C48" s="2"/>
      <c r="D48" s="2"/>
      <c r="E48" s="2"/>
      <c r="F48" s="2"/>
      <c r="G48" s="2"/>
      <c r="H48" s="2"/>
      <c r="I48" s="2"/>
      <c r="K48" s="36">
        <v>15</v>
      </c>
      <c r="L48" s="35">
        <v>26.92</v>
      </c>
      <c r="M48" s="2"/>
      <c r="N48" s="2"/>
      <c r="O48" s="2"/>
      <c r="P48" s="2"/>
      <c r="Q48" s="3" t="s">
        <v>44</v>
      </c>
      <c r="R48" s="26">
        <f ca="1">FV(S31,YEAR(R37)-YEAR(R36),0,-S48*14)</f>
        <v>13635.091340717432</v>
      </c>
      <c r="S48" s="27">
        <f>M12</f>
        <v>783.3</v>
      </c>
      <c r="T48" s="28" t="s">
        <v>45</v>
      </c>
      <c r="U48" s="2"/>
      <c r="V48" s="2"/>
      <c r="W48" s="2"/>
      <c r="AB48" s="2"/>
      <c r="AC48" s="2"/>
      <c r="AD48" s="2"/>
      <c r="AE48" s="7">
        <v>2056</v>
      </c>
      <c r="AF48" s="77">
        <f>ROUND(AF47*(AG39/AG44)^(1/5),4)</f>
        <v>0.89180000000000004</v>
      </c>
      <c r="AG48" s="7">
        <v>21.214098634999999</v>
      </c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1:65" ht="15.5" x14ac:dyDescent="0.35">
      <c r="A49" s="2"/>
      <c r="B49" s="2"/>
      <c r="C49" s="2"/>
      <c r="D49" s="2"/>
      <c r="E49" s="2"/>
      <c r="F49" s="2"/>
      <c r="G49" s="2"/>
      <c r="H49" s="2"/>
      <c r="I49" s="2"/>
      <c r="K49" s="36">
        <v>16</v>
      </c>
      <c r="L49" s="35">
        <v>30.57</v>
      </c>
      <c r="M49" s="2"/>
      <c r="N49" s="2"/>
      <c r="O49" s="2"/>
      <c r="P49" s="2"/>
      <c r="Q49" s="3" t="s">
        <v>46</v>
      </c>
      <c r="R49" s="26">
        <f ca="1">FV(S31,YEAR(R37)-YEAR(R36),0,-S49*14)</f>
        <v>55268.684297754982</v>
      </c>
      <c r="S49" s="27">
        <f>M7</f>
        <v>3175.04</v>
      </c>
      <c r="T49" s="28" t="s">
        <v>45</v>
      </c>
      <c r="U49" s="2"/>
      <c r="V49" s="2"/>
      <c r="W49" s="2"/>
      <c r="AB49" s="2"/>
      <c r="AC49" s="2"/>
      <c r="AD49" s="2"/>
      <c r="AE49" s="7">
        <v>2057</v>
      </c>
      <c r="AF49" s="77">
        <f>ROUND(AF48*(AG39/AG44)^(1/5),4)</f>
        <v>0.89039999999999997</v>
      </c>
      <c r="AG49" s="75">
        <v>21.240209457999999</v>
      </c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65" ht="15.5" x14ac:dyDescent="0.35">
      <c r="A50" s="2"/>
      <c r="B50" s="2"/>
      <c r="C50" s="2"/>
      <c r="D50" s="2"/>
      <c r="E50" s="2"/>
      <c r="F50" s="2"/>
      <c r="G50" s="2"/>
      <c r="H50" s="2"/>
      <c r="I50" s="2"/>
      <c r="K50" s="36">
        <v>17</v>
      </c>
      <c r="L50" s="35">
        <v>34.229999999999997</v>
      </c>
      <c r="M50" s="2"/>
      <c r="N50" s="2"/>
      <c r="O50" s="2"/>
      <c r="P50" s="2"/>
      <c r="Q50" s="3" t="s">
        <v>47</v>
      </c>
      <c r="R50" s="29">
        <f ca="1">ROUND(MAX(0,G6*S32-G18),2)</f>
        <v>549.44000000000005</v>
      </c>
      <c r="S50" s="29">
        <f ca="1">INT(YEARFRAC(R36,R37,1))+1</f>
        <v>12</v>
      </c>
      <c r="T50" s="2" t="s">
        <v>48</v>
      </c>
      <c r="U50" s="2"/>
      <c r="V50" s="2"/>
      <c r="W50" s="2"/>
      <c r="AB50" s="2"/>
      <c r="AC50" s="2"/>
      <c r="AD50" s="2"/>
      <c r="AE50" s="7">
        <v>2058</v>
      </c>
      <c r="AF50" s="77">
        <f>ROUND(AF49*(AG39/AG44)^(1/5),4)</f>
        <v>0.88900000000000001</v>
      </c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65" ht="15.5" x14ac:dyDescent="0.35">
      <c r="A51" s="2"/>
      <c r="B51" s="2"/>
      <c r="C51" s="2"/>
      <c r="D51" s="2"/>
      <c r="E51" s="2"/>
      <c r="F51" s="2"/>
      <c r="G51" s="2"/>
      <c r="H51" s="2"/>
      <c r="I51" s="2"/>
      <c r="K51" s="36">
        <v>18</v>
      </c>
      <c r="L51" s="35">
        <v>37.880000000000003</v>
      </c>
      <c r="M51" s="2"/>
      <c r="N51" s="2"/>
      <c r="O51" s="2"/>
      <c r="P51" s="2"/>
      <c r="Q51" s="3" t="s">
        <v>49</v>
      </c>
      <c r="R51" s="29">
        <f ca="1">ROUND(R50*(1+S30)^(YEAR(R37)-YEAR(R36))*(1+VLOOKUP(D20,O5:Q25,IF(C4=TRUE,2,3))),2)</f>
        <v>15740.41</v>
      </c>
      <c r="S51" s="21">
        <f ca="1">R37-DATE(YEAR(R37),MONTH(R36),DAY(R36))</f>
        <v>140</v>
      </c>
      <c r="T51" s="2" t="s">
        <v>50</v>
      </c>
      <c r="W51" s="2">
        <f ca="1">VLOOKUP(E10,K7:L12,2)*(T44+V41)</f>
        <v>49914.06</v>
      </c>
      <c r="AB51" s="2"/>
      <c r="AC51" s="2"/>
      <c r="AD51" s="2"/>
      <c r="AE51" s="7">
        <v>2059</v>
      </c>
      <c r="AF51" s="76">
        <f>ROUND(AF50*(AG44/AG49)^(1/5),4)</f>
        <v>0.88780000000000003</v>
      </c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65" ht="15.5" x14ac:dyDescent="0.35">
      <c r="A52" s="2"/>
      <c r="B52" s="2"/>
      <c r="C52" s="2"/>
      <c r="D52" s="2"/>
      <c r="E52" s="2"/>
      <c r="F52" s="2"/>
      <c r="G52" s="2"/>
      <c r="H52" s="2"/>
      <c r="I52" s="2"/>
      <c r="K52" s="36">
        <v>19</v>
      </c>
      <c r="L52" s="35">
        <v>41.54</v>
      </c>
      <c r="M52" s="2"/>
      <c r="N52" s="2"/>
      <c r="O52" s="2"/>
      <c r="P52" s="2"/>
      <c r="Q52" s="3" t="s">
        <v>51</v>
      </c>
      <c r="R52" s="30">
        <f ca="1">ROUND(PMT(S29,S50,,-R51*(1+S29)^((IF(S51&lt;=0,-365,0)-S51)/365)),2)</f>
        <v>1096.5999999999999</v>
      </c>
      <c r="S52" s="30">
        <f ca="1">R51*(1+S29)^((IF(S51&lt;=0,-365,0)-S51)/365)*(S29-S30)/((1+S29)^(S50)-(1+S30)^S50)</f>
        <v>988.00461458122959</v>
      </c>
      <c r="T52" s="2" t="s">
        <v>52</v>
      </c>
      <c r="W52" s="2"/>
      <c r="AB52" s="2"/>
      <c r="AC52" s="2"/>
      <c r="AD52" s="2"/>
      <c r="AE52" s="7">
        <v>2060</v>
      </c>
      <c r="AF52" s="77">
        <f>ROUND(AF51*(AG44/AG49)^(1/5),4)</f>
        <v>0.88660000000000005</v>
      </c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65" ht="15.5" x14ac:dyDescent="0.35">
      <c r="A53" s="2"/>
      <c r="B53" s="2"/>
      <c r="C53" s="2"/>
      <c r="D53" s="2"/>
      <c r="E53" s="2"/>
      <c r="F53" s="2"/>
      <c r="G53" s="2"/>
      <c r="H53" s="2"/>
      <c r="I53" s="2"/>
      <c r="K53" s="36">
        <v>20</v>
      </c>
      <c r="L53" s="35">
        <v>45.19</v>
      </c>
      <c r="M53" s="2"/>
      <c r="N53" s="2"/>
      <c r="Q53" s="3" t="s">
        <v>85</v>
      </c>
      <c r="R53" s="26">
        <f>S48*14</f>
        <v>10966.199999999999</v>
      </c>
      <c r="W53" s="83" t="s">
        <v>139</v>
      </c>
      <c r="X53" s="130">
        <v>28</v>
      </c>
      <c r="AB53" s="2"/>
      <c r="AC53" s="2"/>
      <c r="AD53" s="2"/>
      <c r="AE53" s="7">
        <v>2061</v>
      </c>
      <c r="AF53" s="77">
        <f>ROUND(AF52*(AG44/AG49)^(1/5),4)</f>
        <v>0.88539999999999996</v>
      </c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65" ht="15.5" x14ac:dyDescent="0.35">
      <c r="A54" s="2"/>
      <c r="B54" s="2"/>
      <c r="C54" s="2"/>
      <c r="D54" s="2"/>
      <c r="E54" s="2"/>
      <c r="F54" s="2"/>
      <c r="G54" s="2"/>
      <c r="H54" s="2"/>
      <c r="I54" s="2"/>
      <c r="K54" s="36">
        <v>21</v>
      </c>
      <c r="L54" s="35">
        <v>48.84</v>
      </c>
      <c r="M54" s="2"/>
      <c r="N54" s="2"/>
      <c r="Q54" s="3" t="s">
        <v>130</v>
      </c>
      <c r="R54" s="3" t="s">
        <v>131</v>
      </c>
      <c r="S54" s="3" t="s">
        <v>133</v>
      </c>
      <c r="T54" s="26">
        <f ca="1">IF(R55&gt;R56,V41*R56+R56,IF(Q55&lt;R56,Q55,W41*R56+R56))</f>
        <v>44450.559999999998</v>
      </c>
      <c r="V54" s="83" t="s">
        <v>87</v>
      </c>
      <c r="W54" s="84">
        <f>S49*14</f>
        <v>44450.559999999998</v>
      </c>
      <c r="X54" s="2" t="s">
        <v>93</v>
      </c>
      <c r="Y54" s="85"/>
      <c r="AB54" s="2"/>
      <c r="AC54" s="2"/>
      <c r="AD54" s="2"/>
      <c r="AE54" s="7">
        <v>2062</v>
      </c>
      <c r="AF54" s="77">
        <f>ROUND(AF53*(AG44/AG49)^(1/5),4)</f>
        <v>0.88419999999999999</v>
      </c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65" ht="15.5" x14ac:dyDescent="0.35">
      <c r="A55" s="2"/>
      <c r="B55" s="2"/>
      <c r="C55" s="2"/>
      <c r="D55" s="2"/>
      <c r="E55" s="2"/>
      <c r="F55" s="2"/>
      <c r="G55" s="2"/>
      <c r="H55" s="2"/>
      <c r="I55" s="2"/>
      <c r="K55" s="36">
        <v>22</v>
      </c>
      <c r="L55" s="35">
        <v>52.52</v>
      </c>
      <c r="M55" s="2"/>
      <c r="N55" s="2"/>
      <c r="P55" s="3" t="s">
        <v>88</v>
      </c>
      <c r="Q55" s="26">
        <f ca="1">IF(E12&lt;&gt;"",VLOOKUP(E12,K7:L12,2)*(T46+V41)+(VLOOKUP(E11,K7:L12,2)-VLOOKUP(E12,K7:L12,2))*T45+(VLOOKUP(E10,K7:L12,2)-VLOOKUP(E11,K7:L12,2))*T44,IF(E11&lt;&gt;"",VLOOKUP(E11,K7:L12,2)*(T45+V41)+(VLOOKUP(E10,K7:L12,2)-VLOOKUP(E11,K7:L12,2))*T44,VLOOKUP(E10,K7:L12,2)*(T44+V41)))*T37</f>
        <v>49914.06</v>
      </c>
      <c r="R55" s="26">
        <f ca="1">IF(E12&lt;&gt;"",VLOOKUP(E12,K7:L12,2)*T46+(VLOOKUP(E11,K7:L12,2)-VLOOKUP(E12,K7:L12,2))*T45+(VLOOKUP(E10,K7:L12,2)-VLOOKUP(E11,K7:L12,2))*T44,IF(E11&lt;&gt;"",VLOOKUP(E11,K7:L12,2)*T45+(VLOOKUP(E10,K7:L12,2)-VLOOKUP(E11,K7:L12,2))*T44,VLOOKUP(E10,K7:L12,2)*T44))*T37</f>
        <v>49914.06</v>
      </c>
      <c r="S55" s="3" t="s">
        <v>86</v>
      </c>
      <c r="T55" s="26">
        <f ca="1">MAX(R53,MIN(T54,R57))</f>
        <v>44450.559999999998</v>
      </c>
      <c r="V55" s="83" t="s">
        <v>139</v>
      </c>
      <c r="W55" s="84">
        <f>IF(D4=TRUE,VLOOKUP(F5,V43:W47,2,0),0)</f>
        <v>0</v>
      </c>
      <c r="X55" s="2"/>
      <c r="Y55" s="26">
        <f ca="1">T55+W56*14</f>
        <v>44450.559999999998</v>
      </c>
      <c r="AB55" s="2"/>
      <c r="AC55" s="2"/>
      <c r="AD55" s="2"/>
      <c r="AE55" s="7">
        <v>2063</v>
      </c>
      <c r="AF55" s="77">
        <f>ROUND(AF54*(AG44/AG49)^(1/5),4)</f>
        <v>0.88300000000000001</v>
      </c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65" ht="15.5" x14ac:dyDescent="0.35">
      <c r="A56" s="2"/>
      <c r="B56" s="2"/>
      <c r="C56" s="2"/>
      <c r="D56" s="2"/>
      <c r="E56" s="2"/>
      <c r="F56" s="2"/>
      <c r="G56" s="2"/>
      <c r="H56" s="2"/>
      <c r="I56" s="2"/>
      <c r="K56" s="36">
        <v>23</v>
      </c>
      <c r="L56" s="35">
        <v>56.15</v>
      </c>
      <c r="M56" s="2"/>
      <c r="N56" s="2"/>
      <c r="Q56" s="3" t="s">
        <v>129</v>
      </c>
      <c r="R56" s="26">
        <f>+S49*14</f>
        <v>44450.559999999998</v>
      </c>
      <c r="V56" s="83" t="s">
        <v>92</v>
      </c>
      <c r="W56" s="84">
        <f>W55</f>
        <v>0</v>
      </c>
      <c r="X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65" ht="15.5" x14ac:dyDescent="0.35">
      <c r="A57" s="2"/>
      <c r="B57" s="2"/>
      <c r="C57" s="16"/>
      <c r="D57" s="2"/>
      <c r="E57" s="2"/>
      <c r="F57" s="2"/>
      <c r="G57" s="2"/>
      <c r="H57" s="2"/>
      <c r="I57" s="2"/>
      <c r="K57" s="36">
        <v>24</v>
      </c>
      <c r="L57" s="35">
        <v>59.81</v>
      </c>
      <c r="M57" s="2"/>
      <c r="N57" s="2"/>
      <c r="Q57" s="3" t="s">
        <v>128</v>
      </c>
      <c r="R57" s="26">
        <f>L7</f>
        <v>49914.06</v>
      </c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65" ht="15.5" x14ac:dyDescent="0.35">
      <c r="A58" s="2"/>
      <c r="B58" s="2"/>
      <c r="C58" s="2"/>
      <c r="D58" s="2"/>
      <c r="E58" s="2"/>
      <c r="F58" s="2"/>
      <c r="G58" s="2"/>
      <c r="H58" s="2"/>
      <c r="I58" s="2"/>
      <c r="K58" s="36">
        <v>25</v>
      </c>
      <c r="L58" s="35">
        <v>63.46</v>
      </c>
      <c r="M58" s="2"/>
      <c r="N58" s="2"/>
      <c r="O58" s="2"/>
      <c r="P58" s="31" t="s">
        <v>137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65" ht="15.5" x14ac:dyDescent="0.35">
      <c r="A59" s="2"/>
      <c r="B59" s="2"/>
      <c r="C59" s="2"/>
      <c r="D59" s="2"/>
      <c r="E59" s="2"/>
      <c r="F59" s="2"/>
      <c r="G59" s="2"/>
      <c r="H59" s="2"/>
      <c r="I59" s="2"/>
      <c r="K59" s="36">
        <v>26</v>
      </c>
      <c r="L59" s="35">
        <v>67.11</v>
      </c>
      <c r="M59" s="2"/>
      <c r="N59" s="2"/>
      <c r="O59" s="2"/>
      <c r="P59" s="32" t="s">
        <v>53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65" ht="15.5" x14ac:dyDescent="0.35">
      <c r="A60" s="2"/>
      <c r="B60" s="2"/>
      <c r="C60" s="2"/>
      <c r="D60" s="2"/>
      <c r="E60" s="2"/>
      <c r="F60" s="2"/>
      <c r="G60" s="2"/>
      <c r="H60" s="2"/>
      <c r="I60" s="2"/>
      <c r="K60" s="36">
        <v>27</v>
      </c>
      <c r="L60" s="35">
        <v>70.77</v>
      </c>
      <c r="M60" s="2"/>
      <c r="N60" s="4" t="s">
        <v>18</v>
      </c>
      <c r="O60" s="4" t="s">
        <v>17</v>
      </c>
      <c r="P60" s="4">
        <v>2022</v>
      </c>
      <c r="Q60" s="4">
        <v>2023</v>
      </c>
      <c r="R60" s="4">
        <v>2024</v>
      </c>
      <c r="S60" s="4">
        <v>2025</v>
      </c>
      <c r="T60" s="4">
        <v>2026</v>
      </c>
      <c r="U60" s="4">
        <v>2027</v>
      </c>
      <c r="V60" s="4">
        <v>2028</v>
      </c>
      <c r="W60" s="4">
        <v>2029</v>
      </c>
      <c r="X60" s="4">
        <v>2030</v>
      </c>
      <c r="Y60" s="4">
        <v>2031</v>
      </c>
      <c r="Z60" s="4">
        <v>2032</v>
      </c>
      <c r="AA60" s="4">
        <v>2033</v>
      </c>
      <c r="AB60" s="4">
        <v>2034</v>
      </c>
      <c r="AC60" s="4">
        <v>2035</v>
      </c>
      <c r="AD60" s="4">
        <v>2036</v>
      </c>
      <c r="AE60" s="4">
        <v>2037</v>
      </c>
      <c r="AF60" s="4">
        <v>2038</v>
      </c>
      <c r="AG60" s="4">
        <v>2039</v>
      </c>
      <c r="AH60" s="4">
        <v>2040</v>
      </c>
      <c r="AI60" s="4">
        <v>2041</v>
      </c>
      <c r="AJ60" s="4">
        <v>2042</v>
      </c>
      <c r="AK60" s="4">
        <v>2043</v>
      </c>
      <c r="AL60" s="4">
        <v>2044</v>
      </c>
      <c r="AM60" s="4">
        <v>2045</v>
      </c>
      <c r="AN60" s="4">
        <v>2046</v>
      </c>
      <c r="AO60" s="4">
        <v>2047</v>
      </c>
      <c r="AP60" s="4">
        <v>2048</v>
      </c>
      <c r="AQ60" s="4">
        <v>2049</v>
      </c>
      <c r="AR60" s="4">
        <v>2050</v>
      </c>
      <c r="AS60" s="4">
        <v>2051</v>
      </c>
      <c r="AT60" s="4">
        <v>2052</v>
      </c>
      <c r="AU60" s="4">
        <v>2053</v>
      </c>
      <c r="AV60" s="4">
        <v>2054</v>
      </c>
      <c r="AW60" s="4">
        <v>2055</v>
      </c>
      <c r="AX60" s="4">
        <v>2056</v>
      </c>
      <c r="AY60" s="4">
        <v>2057</v>
      </c>
      <c r="AZ60" s="4">
        <v>2058</v>
      </c>
      <c r="BA60" s="4">
        <v>2059</v>
      </c>
      <c r="BB60" s="4">
        <v>2060</v>
      </c>
      <c r="BC60" s="4">
        <v>2061</v>
      </c>
      <c r="BD60" s="4">
        <v>2062</v>
      </c>
      <c r="BE60" s="4">
        <v>2063</v>
      </c>
      <c r="BF60" s="4">
        <v>2064</v>
      </c>
      <c r="BG60" s="4">
        <v>2065</v>
      </c>
      <c r="BH60" s="4">
        <v>2066</v>
      </c>
      <c r="BI60" s="4">
        <v>2067</v>
      </c>
      <c r="BJ60" s="4">
        <v>2068</v>
      </c>
      <c r="BK60" s="4">
        <v>2069</v>
      </c>
      <c r="BL60" s="4">
        <v>2070</v>
      </c>
      <c r="BM60" s="4">
        <v>2071</v>
      </c>
    </row>
    <row r="61" spans="1:65" s="74" customFormat="1" ht="15.5" x14ac:dyDescent="0.35">
      <c r="A61" s="2"/>
      <c r="B61" s="2"/>
      <c r="C61" s="2"/>
      <c r="D61" s="2"/>
      <c r="E61" s="2"/>
      <c r="F61" s="2"/>
      <c r="G61" s="2"/>
      <c r="H61" s="2"/>
      <c r="I61" s="2"/>
      <c r="J61"/>
      <c r="K61" s="36">
        <v>28</v>
      </c>
      <c r="L61" s="35">
        <v>74.42</v>
      </c>
      <c r="M61" s="2"/>
      <c r="N61" s="2"/>
      <c r="O61" s="2">
        <v>60</v>
      </c>
      <c r="P61" s="78">
        <v>20.391340002756767</v>
      </c>
      <c r="Q61" s="78">
        <v>20.972864021747309</v>
      </c>
      <c r="R61" s="78">
        <v>21.071227525304909</v>
      </c>
      <c r="S61" s="78">
        <v>21.170144167059028</v>
      </c>
      <c r="T61" s="78">
        <v>21.265714410273073</v>
      </c>
      <c r="U61" s="78">
        <v>21.359466508626937</v>
      </c>
      <c r="V61" s="78">
        <v>21.452718824331363</v>
      </c>
      <c r="W61" s="78">
        <v>21.542767316605804</v>
      </c>
      <c r="X61" s="78">
        <v>21.631788435089121</v>
      </c>
      <c r="Y61" s="78">
        <v>21.717731112368629</v>
      </c>
      <c r="Z61" s="78">
        <v>21.801084155825954</v>
      </c>
      <c r="AA61" s="78">
        <v>21.883261232480159</v>
      </c>
      <c r="AB61" s="78">
        <v>21.962796241607453</v>
      </c>
      <c r="AC61" s="78">
        <v>22.04059893211517</v>
      </c>
      <c r="AD61" s="78">
        <v>22.116365567984637</v>
      </c>
      <c r="AE61" s="78">
        <v>22.18971666938684</v>
      </c>
      <c r="AF61" s="78">
        <v>22.260603614324619</v>
      </c>
      <c r="AG61" s="78">
        <v>22.331146218747218</v>
      </c>
      <c r="AH61" s="78">
        <v>22.402301844069147</v>
      </c>
      <c r="AI61" s="78">
        <v>22.466976208641043</v>
      </c>
      <c r="AJ61" s="78">
        <v>22.533213982669025</v>
      </c>
      <c r="AK61" s="78">
        <v>22.596791022931786</v>
      </c>
      <c r="AL61" s="78">
        <v>22.650401078458657</v>
      </c>
      <c r="AM61" s="78">
        <v>22.712487215803339</v>
      </c>
      <c r="AN61" s="78">
        <v>22.766789952044821</v>
      </c>
      <c r="AO61" s="78">
        <v>22.820048234080051</v>
      </c>
      <c r="AP61" s="78">
        <v>22.874008219578478</v>
      </c>
      <c r="AQ61" s="78">
        <v>22.923633121680606</v>
      </c>
      <c r="AR61" s="78">
        <v>22.97335833976474</v>
      </c>
      <c r="AS61" s="78">
        <v>23.020789982764139</v>
      </c>
      <c r="AT61" s="78">
        <v>23.066270163442965</v>
      </c>
      <c r="AU61" s="78">
        <v>23.111485276267238</v>
      </c>
      <c r="AV61" s="78">
        <v>23.154724121736376</v>
      </c>
      <c r="AW61" s="78">
        <v>23.195913560068437</v>
      </c>
      <c r="AX61" s="78">
        <v>23.234899578996451</v>
      </c>
      <c r="AY61" s="78">
        <v>23.274266581951817</v>
      </c>
      <c r="AZ61" s="78">
        <v>23.311659409673087</v>
      </c>
      <c r="BA61" s="78">
        <v>23.34682010773157</v>
      </c>
      <c r="BB61" s="78">
        <v>23.381165347855067</v>
      </c>
      <c r="BC61" s="78">
        <v>23.413295348990619</v>
      </c>
      <c r="BD61" s="78">
        <v>23.445182797084218</v>
      </c>
      <c r="BE61" s="78">
        <v>23.476025569167248</v>
      </c>
      <c r="BF61" s="78">
        <v>23.505327248355357</v>
      </c>
      <c r="BG61" s="78">
        <v>23.533113052718917</v>
      </c>
      <c r="BH61" s="78">
        <v>23.559795791046611</v>
      </c>
      <c r="BI61" s="78">
        <v>23.585227139858382</v>
      </c>
      <c r="BJ61" s="78">
        <v>23.609126829454674</v>
      </c>
      <c r="BK61" s="78">
        <v>23.633747744085586</v>
      </c>
      <c r="BL61" s="78">
        <v>23.656778294647143</v>
      </c>
      <c r="BM61" s="78">
        <v>23.678685900388313</v>
      </c>
    </row>
    <row r="62" spans="1:65" s="33" customFormat="1" ht="15.5" x14ac:dyDescent="0.35">
      <c r="A62" s="2"/>
      <c r="B62" s="2"/>
      <c r="C62" s="2"/>
      <c r="D62" s="2"/>
      <c r="E62" s="2"/>
      <c r="F62" s="2"/>
      <c r="G62" s="2"/>
      <c r="H62" s="2"/>
      <c r="I62" s="2"/>
      <c r="J62"/>
      <c r="K62" s="36">
        <v>29</v>
      </c>
      <c r="L62" s="35">
        <v>78.08</v>
      </c>
      <c r="M62" s="2"/>
      <c r="N62" s="2"/>
      <c r="O62" s="2">
        <v>61</v>
      </c>
      <c r="P62" s="78">
        <v>19.750532592666392</v>
      </c>
      <c r="Q62" s="78">
        <v>20.325977893745275</v>
      </c>
      <c r="R62" s="78">
        <v>20.422482428893321</v>
      </c>
      <c r="S62" s="78">
        <v>20.519603849474915</v>
      </c>
      <c r="T62" s="78">
        <v>20.613414777787977</v>
      </c>
      <c r="U62" s="78">
        <v>20.705440161796073</v>
      </c>
      <c r="V62" s="78">
        <v>20.797020709462029</v>
      </c>
      <c r="W62" s="78">
        <v>20.885428007310406</v>
      </c>
      <c r="X62" s="78">
        <v>20.972860351579182</v>
      </c>
      <c r="Y62" s="78">
        <v>21.057239391264819</v>
      </c>
      <c r="Z62" s="78">
        <v>21.139057294387829</v>
      </c>
      <c r="AA62" s="78">
        <v>21.219754880891681</v>
      </c>
      <c r="AB62" s="78">
        <v>21.297843998987211</v>
      </c>
      <c r="AC62" s="78">
        <v>21.374239124482742</v>
      </c>
      <c r="AD62" s="78">
        <v>21.448637267234339</v>
      </c>
      <c r="AE62" s="78">
        <v>21.520654183146114</v>
      </c>
      <c r="AF62" s="78">
        <v>21.590237987990321</v>
      </c>
      <c r="AG62" s="78">
        <v>21.659545166910952</v>
      </c>
      <c r="AH62" s="78">
        <v>21.729544722755062</v>
      </c>
      <c r="AI62" s="78">
        <v>21.793032215762452</v>
      </c>
      <c r="AJ62" s="78">
        <v>21.858172967839558</v>
      </c>
      <c r="AK62" s="78">
        <v>21.92068410268498</v>
      </c>
      <c r="AL62" s="78">
        <v>21.973151269018498</v>
      </c>
      <c r="AM62" s="78">
        <v>22.034271036359765</v>
      </c>
      <c r="AN62" s="78">
        <v>22.087562712118782</v>
      </c>
      <c r="AO62" s="78">
        <v>22.139856278805887</v>
      </c>
      <c r="AP62" s="78">
        <v>22.192914700324597</v>
      </c>
      <c r="AQ62" s="78">
        <v>22.241632872601699</v>
      </c>
      <c r="AR62" s="78">
        <v>22.290509262807937</v>
      </c>
      <c r="AS62" s="78">
        <v>22.337116587042253</v>
      </c>
      <c r="AT62" s="78">
        <v>22.381789391124887</v>
      </c>
      <c r="AU62" s="78">
        <v>22.426242144723112</v>
      </c>
      <c r="AV62" s="78">
        <v>22.468751638042967</v>
      </c>
      <c r="AW62" s="78">
        <v>22.509233069851415</v>
      </c>
      <c r="AX62" s="78">
        <v>22.547527589103204</v>
      </c>
      <c r="AY62" s="78">
        <v>22.586247831363821</v>
      </c>
      <c r="AZ62" s="78">
        <v>22.623013586161289</v>
      </c>
      <c r="BA62" s="78">
        <v>22.657562694234716</v>
      </c>
      <c r="BB62" s="78">
        <v>22.691315620711872</v>
      </c>
      <c r="BC62" s="78">
        <v>22.722866002214349</v>
      </c>
      <c r="BD62" s="78">
        <v>22.75423263720041</v>
      </c>
      <c r="BE62" s="78">
        <v>22.784572039603827</v>
      </c>
      <c r="BF62" s="78">
        <v>22.813381576333981</v>
      </c>
      <c r="BG62" s="78">
        <v>22.840695687166509</v>
      </c>
      <c r="BH62" s="78">
        <v>22.866922710091838</v>
      </c>
      <c r="BI62" s="78">
        <v>22.891919087001991</v>
      </c>
      <c r="BJ62" s="78">
        <v>22.915377703972968</v>
      </c>
      <c r="BK62" s="78">
        <v>22.939604495566883</v>
      </c>
      <c r="BL62" s="78">
        <v>22.962261687189923</v>
      </c>
      <c r="BM62" s="78">
        <v>22.983799144657922</v>
      </c>
    </row>
    <row r="63" spans="1:65" s="33" customFormat="1" ht="15.5" x14ac:dyDescent="0.35">
      <c r="A63" s="2"/>
      <c r="B63" s="2"/>
      <c r="C63" s="2"/>
      <c r="D63" s="2"/>
      <c r="E63" s="2"/>
      <c r="F63" s="2"/>
      <c r="G63" s="2"/>
      <c r="H63" s="2"/>
      <c r="I63" s="2"/>
      <c r="J63"/>
      <c r="K63" s="36">
        <v>30</v>
      </c>
      <c r="L63" s="35">
        <v>81.73</v>
      </c>
      <c r="M63" s="2"/>
      <c r="N63" s="2"/>
      <c r="O63" s="2">
        <v>62</v>
      </c>
      <c r="P63" s="78">
        <v>19.114356517700845</v>
      </c>
      <c r="Q63" s="78">
        <v>19.682687938922058</v>
      </c>
      <c r="R63" s="78">
        <v>19.777144014361419</v>
      </c>
      <c r="S63" s="78">
        <v>19.872283372307511</v>
      </c>
      <c r="T63" s="78">
        <v>19.964187193391606</v>
      </c>
      <c r="U63" s="78">
        <v>20.054301643025738</v>
      </c>
      <c r="V63" s="78">
        <v>20.144033427278053</v>
      </c>
      <c r="W63" s="78">
        <v>20.230642144487462</v>
      </c>
      <c r="X63" s="78">
        <v>20.316311235071833</v>
      </c>
      <c r="Y63" s="78">
        <v>20.398962371865398</v>
      </c>
      <c r="Z63" s="78">
        <v>20.479083405013156</v>
      </c>
      <c r="AA63" s="78">
        <v>20.55814219822318</v>
      </c>
      <c r="AB63" s="78">
        <v>20.634636749276737</v>
      </c>
      <c r="AC63" s="78">
        <v>20.709470267711794</v>
      </c>
      <c r="AD63" s="78">
        <v>20.782361240907502</v>
      </c>
      <c r="AE63" s="78">
        <v>20.852903549151197</v>
      </c>
      <c r="AF63" s="78">
        <v>20.921058662233712</v>
      </c>
      <c r="AG63" s="78">
        <v>20.988990310044176</v>
      </c>
      <c r="AH63" s="78">
        <v>21.057718261767345</v>
      </c>
      <c r="AI63" s="78">
        <v>21.119882724351825</v>
      </c>
      <c r="AJ63" s="78">
        <v>21.183807833089041</v>
      </c>
      <c r="AK63" s="78">
        <v>21.245126974779751</v>
      </c>
      <c r="AL63" s="78">
        <v>21.296330220979794</v>
      </c>
      <c r="AM63" s="78">
        <v>21.35636471990939</v>
      </c>
      <c r="AN63" s="78">
        <v>21.408530182495809</v>
      </c>
      <c r="AO63" s="78">
        <v>21.459746970367629</v>
      </c>
      <c r="AP63" s="78">
        <v>21.511797904780803</v>
      </c>
      <c r="AQ63" s="78">
        <v>21.559504083542816</v>
      </c>
      <c r="AR63" s="78">
        <v>21.607433652475187</v>
      </c>
      <c r="AS63" s="78">
        <v>21.653119026475643</v>
      </c>
      <c r="AT63" s="78">
        <v>21.696898064539102</v>
      </c>
      <c r="AU63" s="78">
        <v>21.740499605223324</v>
      </c>
      <c r="AV63" s="78">
        <v>21.782197012274381</v>
      </c>
      <c r="AW63" s="78">
        <v>21.821887765490722</v>
      </c>
      <c r="AX63" s="78">
        <v>21.859402343633125</v>
      </c>
      <c r="AY63" s="78">
        <v>21.897400992497978</v>
      </c>
      <c r="AZ63" s="78">
        <v>21.933458587032909</v>
      </c>
      <c r="BA63" s="78">
        <v>21.967325410169369</v>
      </c>
      <c r="BB63" s="78">
        <v>22.00042069171564</v>
      </c>
      <c r="BC63" s="78">
        <v>22.031321766145357</v>
      </c>
      <c r="BD63" s="78">
        <v>22.062106844731499</v>
      </c>
      <c r="BE63" s="78">
        <v>22.091885025720071</v>
      </c>
      <c r="BF63" s="78">
        <v>22.120143315843737</v>
      </c>
      <c r="BG63" s="78">
        <v>22.146930566487928</v>
      </c>
      <c r="BH63" s="78">
        <v>22.172654240720153</v>
      </c>
      <c r="BI63" s="78">
        <v>22.197156781393499</v>
      </c>
      <c r="BJ63" s="78">
        <v>22.220145345211215</v>
      </c>
      <c r="BK63" s="78">
        <v>22.243921465713363</v>
      </c>
      <c r="BL63" s="78">
        <v>22.266171961399362</v>
      </c>
      <c r="BM63" s="78">
        <v>22.287296358974064</v>
      </c>
    </row>
    <row r="64" spans="1:65" s="33" customFormat="1" ht="15.5" x14ac:dyDescent="0.35">
      <c r="A64" s="2"/>
      <c r="B64" s="2"/>
      <c r="C64" s="2"/>
      <c r="D64" s="2"/>
      <c r="E64" s="2"/>
      <c r="F64" s="2"/>
      <c r="G64" s="2"/>
      <c r="H64" s="2"/>
      <c r="I64" s="2"/>
      <c r="J64"/>
      <c r="K64" s="36">
        <v>31</v>
      </c>
      <c r="L64" s="35">
        <v>85.38</v>
      </c>
      <c r="M64" s="2"/>
      <c r="N64" s="2"/>
      <c r="O64" s="2">
        <v>63</v>
      </c>
      <c r="P64" s="78">
        <v>18.482391434623334</v>
      </c>
      <c r="Q64" s="78">
        <v>19.041356371599502</v>
      </c>
      <c r="R64" s="78">
        <v>19.133627624821866</v>
      </c>
      <c r="S64" s="78">
        <v>19.226665621463017</v>
      </c>
      <c r="T64" s="78">
        <v>19.316522073186018</v>
      </c>
      <c r="U64" s="78">
        <v>19.404632863757129</v>
      </c>
      <c r="V64" s="78">
        <v>19.492388683351376</v>
      </c>
      <c r="W64" s="78">
        <v>19.577069314174615</v>
      </c>
      <c r="X64" s="78">
        <v>19.660874826619473</v>
      </c>
      <c r="Y64" s="78">
        <v>19.741670922211615</v>
      </c>
      <c r="Z64" s="78">
        <v>19.819981266969776</v>
      </c>
      <c r="AA64" s="78">
        <v>19.897289536024001</v>
      </c>
      <c r="AB64" s="78">
        <v>19.97207801588943</v>
      </c>
      <c r="AC64" s="78">
        <v>20.045253115743066</v>
      </c>
      <c r="AD64" s="78">
        <v>20.116526570587009</v>
      </c>
      <c r="AE64" s="78">
        <v>20.185505576882051</v>
      </c>
      <c r="AF64" s="78">
        <v>20.252138709461679</v>
      </c>
      <c r="AG64" s="78">
        <v>20.318622100292661</v>
      </c>
      <c r="AH64" s="78">
        <v>20.385984049705797</v>
      </c>
      <c r="AI64" s="78">
        <v>20.446760010861052</v>
      </c>
      <c r="AJ64" s="78">
        <v>20.509372387001985</v>
      </c>
      <c r="AK64" s="78">
        <v>20.569426064635412</v>
      </c>
      <c r="AL64" s="78">
        <v>20.619274640310994</v>
      </c>
      <c r="AM64" s="78">
        <v>20.678151296129851</v>
      </c>
      <c r="AN64" s="78">
        <v>20.729098677615347</v>
      </c>
      <c r="AO64" s="78">
        <v>20.779163059665731</v>
      </c>
      <c r="AP64" s="78">
        <v>20.830132193773572</v>
      </c>
      <c r="AQ64" s="78">
        <v>20.876749998772635</v>
      </c>
      <c r="AR64" s="78">
        <v>20.92365919232325</v>
      </c>
      <c r="AS64" s="78">
        <v>20.968359019166893</v>
      </c>
      <c r="AT64" s="78">
        <v>21.011179469483988</v>
      </c>
      <c r="AU64" s="78">
        <v>21.053872006275128</v>
      </c>
      <c r="AV64" s="78">
        <v>21.094694529783183</v>
      </c>
      <c r="AW64" s="78">
        <v>21.133552978111833</v>
      </c>
      <c r="AX64" s="78">
        <v>21.170235812412319</v>
      </c>
      <c r="AY64" s="78">
        <v>21.207447098021248</v>
      </c>
      <c r="AZ64" s="78">
        <v>21.242745160078965</v>
      </c>
      <c r="BA64" s="78">
        <v>21.275870193969652</v>
      </c>
      <c r="BB64" s="78">
        <v>21.308267740519049</v>
      </c>
      <c r="BC64" s="78">
        <v>21.338469771968377</v>
      </c>
      <c r="BD64" s="78">
        <v>21.368626210744349</v>
      </c>
      <c r="BE64" s="78">
        <v>21.397816758486652</v>
      </c>
      <c r="BF64" s="78">
        <v>21.425484328991274</v>
      </c>
      <c r="BG64" s="78">
        <v>21.451698936173226</v>
      </c>
      <c r="BH64" s="78">
        <v>21.476890322453468</v>
      </c>
      <c r="BI64" s="78">
        <v>21.500873374906845</v>
      </c>
      <c r="BJ64" s="78">
        <v>21.523349649972801</v>
      </c>
      <c r="BK64" s="78">
        <v>21.546664371819396</v>
      </c>
      <c r="BL64" s="78">
        <v>21.568462477813593</v>
      </c>
      <c r="BM64" s="78">
        <v>21.589185014758122</v>
      </c>
    </row>
    <row r="65" spans="1:65" s="33" customFormat="1" ht="15.5" x14ac:dyDescent="0.35">
      <c r="A65" s="2"/>
      <c r="B65" s="2"/>
      <c r="C65" s="2"/>
      <c r="D65" s="2"/>
      <c r="E65" s="2"/>
      <c r="F65" s="2"/>
      <c r="G65" s="2"/>
      <c r="H65" s="2"/>
      <c r="I65" s="2"/>
      <c r="J65"/>
      <c r="K65" s="36">
        <v>32</v>
      </c>
      <c r="L65" s="35">
        <v>89.04</v>
      </c>
      <c r="M65" s="2"/>
      <c r="N65" s="2"/>
      <c r="O65" s="2">
        <v>64</v>
      </c>
      <c r="P65" s="78">
        <v>17.854746473723914</v>
      </c>
      <c r="Q65" s="78">
        <v>18.401984402865022</v>
      </c>
      <c r="R65" s="78">
        <v>18.491991125517455</v>
      </c>
      <c r="S65" s="78">
        <v>18.58280427031255</v>
      </c>
      <c r="T65" s="78">
        <v>18.670456889602743</v>
      </c>
      <c r="U65" s="78">
        <v>18.756454121773672</v>
      </c>
      <c r="V65" s="78">
        <v>18.842200667343597</v>
      </c>
      <c r="W65" s="78">
        <v>18.924811729218614</v>
      </c>
      <c r="X65" s="78">
        <v>19.00664877979651</v>
      </c>
      <c r="Y65" s="78">
        <v>19.085521656675976</v>
      </c>
      <c r="Z65" s="78">
        <v>19.16190827610103</v>
      </c>
      <c r="AA65" s="78">
        <v>19.237371993444398</v>
      </c>
      <c r="AB65" s="78">
        <v>19.310351273324144</v>
      </c>
      <c r="AC65" s="78">
        <v>19.38178467935472</v>
      </c>
      <c r="AD65" s="78">
        <v>19.451359818883546</v>
      </c>
      <c r="AE65" s="78">
        <v>19.518671642357639</v>
      </c>
      <c r="AF65" s="78">
        <v>19.583704570821723</v>
      </c>
      <c r="AG65" s="78">
        <v>19.648668007403185</v>
      </c>
      <c r="AH65" s="78">
        <v>19.714603113013041</v>
      </c>
      <c r="AI65" s="78">
        <v>19.773918440336953</v>
      </c>
      <c r="AJ65" s="78">
        <v>19.835178475855834</v>
      </c>
      <c r="AK65" s="78">
        <v>19.893877073549003</v>
      </c>
      <c r="AL65" s="78">
        <v>19.942309483635107</v>
      </c>
      <c r="AM65" s="78">
        <v>19.999970146816203</v>
      </c>
      <c r="AN65" s="78">
        <v>20.049637560306664</v>
      </c>
      <c r="AO65" s="78">
        <v>20.098463871970186</v>
      </c>
      <c r="AP65" s="78">
        <v>20.148297214128629</v>
      </c>
      <c r="AQ65" s="78">
        <v>20.193767033465495</v>
      </c>
      <c r="AR65" s="78">
        <v>20.239586984430321</v>
      </c>
      <c r="AS65" s="78">
        <v>20.283235025501842</v>
      </c>
      <c r="AT65" s="78">
        <v>20.325047816905943</v>
      </c>
      <c r="AU65" s="78">
        <v>20.366782497293364</v>
      </c>
      <c r="AV65" s="78">
        <v>20.406668585689832</v>
      </c>
      <c r="AW65" s="78">
        <v>20.444635793013141</v>
      </c>
      <c r="AX65" s="78">
        <v>20.480472822580055</v>
      </c>
      <c r="AY65" s="78">
        <v>20.516859909699075</v>
      </c>
      <c r="AZ65" s="78">
        <v>20.551339882768847</v>
      </c>
      <c r="BA65" s="78">
        <v>20.583672896370995</v>
      </c>
      <c r="BB65" s="78">
        <v>20.615323263860471</v>
      </c>
      <c r="BC65" s="78">
        <v>20.644800364688653</v>
      </c>
      <c r="BD65" s="78">
        <v>20.674271434668146</v>
      </c>
      <c r="BE65" s="78">
        <v>20.702834047174143</v>
      </c>
      <c r="BF65" s="78">
        <v>20.729906594804365</v>
      </c>
      <c r="BG65" s="78">
        <v>20.755508444107047</v>
      </c>
      <c r="BH65" s="78">
        <v>20.780118557672107</v>
      </c>
      <c r="BI65" s="78">
        <v>20.803567031324697</v>
      </c>
      <c r="BJ65" s="78">
        <v>20.825508596374526</v>
      </c>
      <c r="BK65" s="78">
        <v>20.848330463698719</v>
      </c>
      <c r="BL65" s="78">
        <v>20.869649618909602</v>
      </c>
      <c r="BM65" s="78">
        <v>20.889930421416199</v>
      </c>
    </row>
    <row r="66" spans="1:65" s="33" customFormat="1" ht="15.5" x14ac:dyDescent="0.35">
      <c r="A66" s="2"/>
      <c r="B66" s="2"/>
      <c r="C66" s="2"/>
      <c r="D66" s="2"/>
      <c r="E66" s="2"/>
      <c r="F66" s="2"/>
      <c r="G66" s="2"/>
      <c r="H66" s="2"/>
      <c r="I66" s="2"/>
      <c r="J66"/>
      <c r="K66" s="36">
        <v>33</v>
      </c>
      <c r="L66" s="35">
        <v>92.69</v>
      </c>
      <c r="M66" s="2"/>
      <c r="N66" s="2"/>
      <c r="O66" s="2">
        <v>65</v>
      </c>
      <c r="P66" s="78">
        <v>17.230446056516165</v>
      </c>
      <c r="Q66" s="78">
        <v>17.764820568192864</v>
      </c>
      <c r="R66" s="78">
        <v>17.852325218288549</v>
      </c>
      <c r="S66" s="78">
        <v>17.940707633815983</v>
      </c>
      <c r="T66" s="78">
        <v>18.025939739712292</v>
      </c>
      <c r="U66" s="78">
        <v>18.109578881507986</v>
      </c>
      <c r="V66" s="78">
        <v>18.193131778753365</v>
      </c>
      <c r="W66" s="78">
        <v>18.273535429504353</v>
      </c>
      <c r="X66" s="78">
        <v>18.353205056215895</v>
      </c>
      <c r="Y66" s="78">
        <v>18.42999728635014</v>
      </c>
      <c r="Z66" s="78">
        <v>18.504322130779077</v>
      </c>
      <c r="AA66" s="78">
        <v>18.577790499700129</v>
      </c>
      <c r="AB66" s="78">
        <v>18.648821919168398</v>
      </c>
      <c r="AC66" s="78">
        <v>18.718372393779461</v>
      </c>
      <c r="AD66" s="78">
        <v>18.786134019311671</v>
      </c>
      <c r="AE66" s="78">
        <v>18.851656874244188</v>
      </c>
      <c r="AF66" s="78">
        <v>18.914963337410889</v>
      </c>
      <c r="AG66" s="78">
        <v>18.978291117431532</v>
      </c>
      <c r="AH66" s="78">
        <v>19.042702671533878</v>
      </c>
      <c r="AI66" s="78">
        <v>19.100449875063624</v>
      </c>
      <c r="AJ66" s="78">
        <v>19.160274493487631</v>
      </c>
      <c r="AK66" s="78">
        <v>19.217539088157693</v>
      </c>
      <c r="AL66" s="78">
        <v>19.264453874892052</v>
      </c>
      <c r="AM66" s="78">
        <v>19.320822160705507</v>
      </c>
      <c r="AN66" s="78">
        <v>19.369142260772115</v>
      </c>
      <c r="AO66" s="78">
        <v>19.416654569366848</v>
      </c>
      <c r="AP66" s="78">
        <v>19.46527112312631</v>
      </c>
      <c r="AQ66" s="78">
        <v>19.509531032451193</v>
      </c>
      <c r="AR66" s="78">
        <v>19.554201006239218</v>
      </c>
      <c r="AS66" s="78">
        <v>19.596726455789099</v>
      </c>
      <c r="AT66" s="78">
        <v>19.637464681139541</v>
      </c>
      <c r="AU66" s="78">
        <v>19.67818853267568</v>
      </c>
      <c r="AV66" s="78">
        <v>19.71708808296659</v>
      </c>
      <c r="AW66" s="78">
        <v>19.754090533191906</v>
      </c>
      <c r="AX66" s="78">
        <v>19.789021322750251</v>
      </c>
      <c r="AY66" s="78">
        <v>19.824561174560412</v>
      </c>
      <c r="AZ66" s="78">
        <v>19.858182633454295</v>
      </c>
      <c r="BA66" s="78">
        <v>19.889675901070309</v>
      </c>
      <c r="BB66" s="78">
        <v>19.92052536617901</v>
      </c>
      <c r="BC66" s="78">
        <v>19.949237267677635</v>
      </c>
      <c r="BD66" s="78">
        <v>19.977993450628365</v>
      </c>
      <c r="BE66" s="78">
        <v>20.0058666909026</v>
      </c>
      <c r="BF66" s="78">
        <v>20.032306484006245</v>
      </c>
      <c r="BG66" s="78">
        <v>20.057282829015467</v>
      </c>
      <c r="BH66" s="78">
        <v>20.081266914770403</v>
      </c>
      <c r="BI66" s="78">
        <v>20.104133302346849</v>
      </c>
      <c r="BJ66" s="78">
        <v>20.125520066791271</v>
      </c>
      <c r="BK66" s="78">
        <v>20.147815808063193</v>
      </c>
      <c r="BL66" s="78">
        <v>20.168633725795246</v>
      </c>
      <c r="BM66" s="78">
        <v>20.188412080769204</v>
      </c>
    </row>
    <row r="67" spans="1:65" s="33" customFormat="1" ht="15.5" x14ac:dyDescent="0.35">
      <c r="A67" s="2"/>
      <c r="B67" s="2"/>
      <c r="C67" s="2"/>
      <c r="D67" s="2"/>
      <c r="E67" s="2"/>
      <c r="F67" s="2"/>
      <c r="G67" s="2"/>
      <c r="H67" s="2"/>
      <c r="I67" s="2"/>
      <c r="J67"/>
      <c r="K67" s="36">
        <v>34</v>
      </c>
      <c r="L67" s="35">
        <v>96.35</v>
      </c>
      <c r="M67" s="2"/>
      <c r="N67" s="2"/>
      <c r="O67" s="2">
        <v>66</v>
      </c>
      <c r="P67" s="78">
        <v>16.610358767116065</v>
      </c>
      <c r="Q67" s="78">
        <v>17.130623642840774</v>
      </c>
      <c r="R67" s="78">
        <v>17.215480853611062</v>
      </c>
      <c r="S67" s="78">
        <v>17.301341561896393</v>
      </c>
      <c r="T67" s="78">
        <v>17.384034944615721</v>
      </c>
      <c r="U67" s="78">
        <v>17.465238902744915</v>
      </c>
      <c r="V67" s="78">
        <v>17.546438292800826</v>
      </c>
      <c r="W67" s="78">
        <v>17.624559244127429</v>
      </c>
      <c r="X67" s="78">
        <v>17.701944331563709</v>
      </c>
      <c r="Y67" s="78">
        <v>17.776540660332842</v>
      </c>
      <c r="Z67" s="78">
        <v>17.848732579268951</v>
      </c>
      <c r="AA67" s="78">
        <v>17.920100731269471</v>
      </c>
      <c r="AB67" s="78">
        <v>17.989108546667538</v>
      </c>
      <c r="AC67" s="78">
        <v>18.056688697825123</v>
      </c>
      <c r="AD67" s="78">
        <v>18.122544687520488</v>
      </c>
      <c r="AE67" s="78">
        <v>18.18621364897249</v>
      </c>
      <c r="AF67" s="78">
        <v>18.247697771743876</v>
      </c>
      <c r="AG67" s="78">
        <v>18.309313860402668</v>
      </c>
      <c r="AH67" s="78">
        <v>18.372104562893423</v>
      </c>
      <c r="AI67" s="78">
        <v>18.428210817247393</v>
      </c>
      <c r="AJ67" s="78">
        <v>18.486495441799043</v>
      </c>
      <c r="AK67" s="78">
        <v>18.542279619645264</v>
      </c>
      <c r="AL67" s="78">
        <v>18.587587504641522</v>
      </c>
      <c r="AM67" s="78">
        <v>18.642610378350202</v>
      </c>
      <c r="AN67" s="78">
        <v>18.689513982591343</v>
      </c>
      <c r="AO67" s="78">
        <v>18.735677167463678</v>
      </c>
      <c r="AP67" s="78">
        <v>18.783019307062883</v>
      </c>
      <c r="AQ67" s="78">
        <v>18.826022677850204</v>
      </c>
      <c r="AR67" s="78">
        <v>18.869503341364101</v>
      </c>
      <c r="AS67" s="78">
        <v>18.910868447857887</v>
      </c>
      <c r="AT67" s="78">
        <v>18.950484400007888</v>
      </c>
      <c r="AU67" s="78">
        <v>18.990154315737851</v>
      </c>
      <c r="AV67" s="78">
        <v>19.028029194457172</v>
      </c>
      <c r="AW67" s="78">
        <v>19.064034183974655</v>
      </c>
      <c r="AX67" s="78">
        <v>19.09799136195663</v>
      </c>
      <c r="AY67" s="78">
        <v>19.132641926109482</v>
      </c>
      <c r="AZ67" s="78">
        <v>19.165383680999263</v>
      </c>
      <c r="BA67" s="78">
        <v>19.196006756334352</v>
      </c>
      <c r="BB67" s="78">
        <v>19.226034530231452</v>
      </c>
      <c r="BC67" s="78">
        <v>19.253936846130458</v>
      </c>
      <c r="BD67" s="78">
        <v>19.281962282507521</v>
      </c>
      <c r="BE67" s="78">
        <v>19.309122374422543</v>
      </c>
      <c r="BF67" s="78">
        <v>19.334877123510829</v>
      </c>
      <c r="BG67" s="78">
        <v>19.359204647945926</v>
      </c>
      <c r="BH67" s="78">
        <v>19.382549643011838</v>
      </c>
      <c r="BI67" s="78">
        <v>19.404795874906014</v>
      </c>
      <c r="BJ67" s="78">
        <v>19.425593638060992</v>
      </c>
      <c r="BK67" s="78">
        <v>19.447348198647123</v>
      </c>
      <c r="BL67" s="78">
        <v>19.467629420426579</v>
      </c>
      <c r="BM67" s="78">
        <v>19.48690146490349</v>
      </c>
    </row>
    <row r="68" spans="1:65" s="33" customFormat="1" ht="15.5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36">
        <v>35</v>
      </c>
      <c r="L68" s="36">
        <v>100</v>
      </c>
      <c r="M68" s="2"/>
      <c r="N68" s="2"/>
      <c r="O68" s="2">
        <v>67</v>
      </c>
      <c r="P68" s="78">
        <v>15.994774110053203</v>
      </c>
      <c r="Q68" s="78">
        <v>16.49978234521631</v>
      </c>
      <c r="R68" s="78">
        <v>16.582021042628114</v>
      </c>
      <c r="S68" s="78">
        <v>16.665365624822559</v>
      </c>
      <c r="T68" s="78">
        <v>16.74554201685029</v>
      </c>
      <c r="U68" s="78">
        <v>16.824320839340359</v>
      </c>
      <c r="V68" s="78">
        <v>16.903177858673679</v>
      </c>
      <c r="W68" s="78">
        <v>16.978975209668342</v>
      </c>
      <c r="X68" s="78">
        <v>17.054078320719317</v>
      </c>
      <c r="Y68" s="78">
        <v>17.126472809567893</v>
      </c>
      <c r="Z68" s="78">
        <v>17.196498263991447</v>
      </c>
      <c r="AA68" s="78">
        <v>17.265757379088473</v>
      </c>
      <c r="AB68" s="78">
        <v>17.332719465310348</v>
      </c>
      <c r="AC68" s="78">
        <v>17.398308900062553</v>
      </c>
      <c r="AD68" s="78">
        <v>17.462233769644858</v>
      </c>
      <c r="AE68" s="78">
        <v>17.524016705993837</v>
      </c>
      <c r="AF68" s="78">
        <v>17.583659077255462</v>
      </c>
      <c r="AG68" s="78">
        <v>17.643529915797302</v>
      </c>
      <c r="AH68" s="78">
        <v>17.704672841877354</v>
      </c>
      <c r="AI68" s="78">
        <v>17.759096126333983</v>
      </c>
      <c r="AJ68" s="78">
        <v>17.815815829805878</v>
      </c>
      <c r="AK68" s="78">
        <v>17.870076973579167</v>
      </c>
      <c r="AL68" s="78">
        <v>17.913749846252607</v>
      </c>
      <c r="AM68" s="78">
        <v>17.96739858611161</v>
      </c>
      <c r="AN68" s="78">
        <v>18.012853673910797</v>
      </c>
      <c r="AO68" s="78">
        <v>18.057635285614698</v>
      </c>
      <c r="AP68" s="78">
        <v>18.103687524712079</v>
      </c>
      <c r="AQ68" s="78">
        <v>18.145403250748501</v>
      </c>
      <c r="AR68" s="78">
        <v>18.187668556977119</v>
      </c>
      <c r="AS68" s="78">
        <v>18.22785199316068</v>
      </c>
      <c r="AT68" s="78">
        <v>18.266324168360722</v>
      </c>
      <c r="AU68" s="78">
        <v>18.304913934534031</v>
      </c>
      <c r="AV68" s="78">
        <v>18.341738712065727</v>
      </c>
      <c r="AW68" s="78">
        <v>18.37672482721414</v>
      </c>
      <c r="AX68" s="78">
        <v>18.409688338269703</v>
      </c>
      <c r="AY68" s="78">
        <v>18.443413197558396</v>
      </c>
      <c r="AZ68" s="78">
        <v>18.475250107990799</v>
      </c>
      <c r="BA68" s="78">
        <v>18.504992481116489</v>
      </c>
      <c r="BB68" s="78">
        <v>18.534181138799546</v>
      </c>
      <c r="BC68" s="78">
        <v>18.56125702701874</v>
      </c>
      <c r="BD68" s="78">
        <v>18.588526757639347</v>
      </c>
      <c r="BE68" s="78">
        <v>18.614962092755011</v>
      </c>
      <c r="BF68" s="78">
        <v>18.640018634451213</v>
      </c>
      <c r="BG68" s="78">
        <v>18.663666039136462</v>
      </c>
      <c r="BH68" s="78">
        <v>18.686356929587205</v>
      </c>
      <c r="BI68" s="78">
        <v>18.707977033076279</v>
      </c>
      <c r="BJ68" s="78">
        <v>18.728162630144993</v>
      </c>
      <c r="BK68" s="78">
        <v>18.749355596110622</v>
      </c>
      <c r="BL68" s="78">
        <v>18.769092195385731</v>
      </c>
      <c r="BM68" s="78">
        <v>18.78783892088104</v>
      </c>
    </row>
    <row r="69" spans="1:65" s="33" customFormat="1" ht="15.5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13"/>
      <c r="L69" s="13"/>
      <c r="M69" s="2"/>
      <c r="N69" s="2"/>
      <c r="O69" s="2">
        <v>68</v>
      </c>
      <c r="P69" s="78">
        <v>15.382631866093954</v>
      </c>
      <c r="Q69" s="78">
        <v>15.872350203130617</v>
      </c>
      <c r="R69" s="78">
        <v>15.952056974838023</v>
      </c>
      <c r="S69" s="78">
        <v>16.03299578087498</v>
      </c>
      <c r="T69" s="78">
        <v>16.110754099627137</v>
      </c>
      <c r="U69" s="78">
        <v>16.187161334335574</v>
      </c>
      <c r="V69" s="78">
        <v>16.263745835448766</v>
      </c>
      <c r="W69" s="78">
        <v>16.337259936548232</v>
      </c>
      <c r="X69" s="78">
        <v>16.41014793861121</v>
      </c>
      <c r="Y69" s="78">
        <v>16.480360340991673</v>
      </c>
      <c r="Z69" s="78">
        <v>16.548291470167939</v>
      </c>
      <c r="AA69" s="78">
        <v>16.615467564734356</v>
      </c>
      <c r="AB69" s="78">
        <v>16.680395643891817</v>
      </c>
      <c r="AC69" s="78">
        <v>16.744039836274411</v>
      </c>
      <c r="AD69" s="78">
        <v>16.806037833546725</v>
      </c>
      <c r="AE69" s="78">
        <v>16.865951633643821</v>
      </c>
      <c r="AF69" s="78">
        <v>16.923763224689136</v>
      </c>
      <c r="AG69" s="78">
        <v>16.981898552364168</v>
      </c>
      <c r="AH69" s="78">
        <v>17.041420255233842</v>
      </c>
      <c r="AI69" s="78">
        <v>17.094156444459333</v>
      </c>
      <c r="AJ69" s="78">
        <v>17.149336563435899</v>
      </c>
      <c r="AK69" s="78">
        <v>17.202088771124927</v>
      </c>
      <c r="AL69" s="78">
        <v>17.244150125585261</v>
      </c>
      <c r="AM69" s="78">
        <v>17.296427771728261</v>
      </c>
      <c r="AN69" s="78">
        <v>17.340468603352182</v>
      </c>
      <c r="AO69" s="78">
        <v>17.383850326180028</v>
      </c>
      <c r="AP69" s="78">
        <v>17.428628174290413</v>
      </c>
      <c r="AQ69" s="78">
        <v>17.469050832680484</v>
      </c>
      <c r="AR69" s="78">
        <v>17.510106020938938</v>
      </c>
      <c r="AS69" s="78">
        <v>17.549084968520429</v>
      </c>
      <c r="AT69" s="78">
        <v>17.5864125251675</v>
      </c>
      <c r="AU69" s="78">
        <v>17.623917773721953</v>
      </c>
      <c r="AV69" s="78">
        <v>17.659680304375744</v>
      </c>
      <c r="AW69" s="78">
        <v>17.693633924555616</v>
      </c>
      <c r="AX69" s="78">
        <v>17.725603231207362</v>
      </c>
      <c r="AY69" s="78">
        <v>17.758399890648938</v>
      </c>
      <c r="AZ69" s="78">
        <v>17.789326278514945</v>
      </c>
      <c r="BA69" s="78">
        <v>17.818175127230727</v>
      </c>
      <c r="BB69" s="78">
        <v>17.846550924082564</v>
      </c>
      <c r="BC69" s="78">
        <v>17.872802626479416</v>
      </c>
      <c r="BD69" s="78">
        <v>17.899293919320922</v>
      </c>
      <c r="BE69" s="78">
        <v>17.92499743087895</v>
      </c>
      <c r="BF69" s="78">
        <v>17.949339252507585</v>
      </c>
      <c r="BG69" s="78">
        <v>17.972317356093942</v>
      </c>
      <c r="BH69" s="78">
        <v>17.994336748092952</v>
      </c>
      <c r="BI69" s="78">
        <v>18.015321150317686</v>
      </c>
      <c r="BJ69" s="78">
        <v>18.034921220279202</v>
      </c>
      <c r="BK69" s="78">
        <v>18.055547304312714</v>
      </c>
      <c r="BL69" s="78">
        <v>18.074720780621238</v>
      </c>
      <c r="BM69" s="78">
        <v>18.092956900399908</v>
      </c>
    </row>
    <row r="70" spans="1:65" s="33" customFormat="1" ht="15.5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13"/>
      <c r="L70" s="13"/>
      <c r="M70" s="2"/>
      <c r="N70" s="2"/>
      <c r="O70" s="2">
        <v>69</v>
      </c>
      <c r="P70" s="78">
        <v>14.771915312824321</v>
      </c>
      <c r="Q70" s="78">
        <v>15.245800980776577</v>
      </c>
      <c r="R70" s="78">
        <v>15.322897785536293</v>
      </c>
      <c r="S70" s="78">
        <v>15.40134631562783</v>
      </c>
      <c r="T70" s="78">
        <v>15.476654400422383</v>
      </c>
      <c r="U70" s="78">
        <v>15.550645382920397</v>
      </c>
      <c r="V70" s="78">
        <v>15.624920756100156</v>
      </c>
      <c r="W70" s="78">
        <v>15.696139219725428</v>
      </c>
      <c r="X70" s="78">
        <v>15.76677806840153</v>
      </c>
      <c r="Y70" s="78">
        <v>15.834776045391992</v>
      </c>
      <c r="Z70" s="78">
        <v>15.900587692347825</v>
      </c>
      <c r="AA70" s="78">
        <v>15.965719173780862</v>
      </c>
      <c r="AB70" s="78">
        <v>16.028586652048951</v>
      </c>
      <c r="AC70" s="78">
        <v>16.090273440419956</v>
      </c>
      <c r="AD70" s="78">
        <v>16.150368064238837</v>
      </c>
      <c r="AE70" s="78">
        <v>16.208399303002395</v>
      </c>
      <c r="AF70" s="78">
        <v>16.26438296400773</v>
      </c>
      <c r="AG70" s="78">
        <v>16.320783159998893</v>
      </c>
      <c r="AH70" s="78">
        <v>16.378696457450477</v>
      </c>
      <c r="AI70" s="78">
        <v>16.429760691914705</v>
      </c>
      <c r="AJ70" s="78">
        <v>16.483399821272691</v>
      </c>
      <c r="AK70" s="78">
        <v>16.534664868320309</v>
      </c>
      <c r="AL70" s="78">
        <v>16.575124568818179</v>
      </c>
      <c r="AM70" s="78">
        <v>16.626068387389175</v>
      </c>
      <c r="AN70" s="78">
        <v>16.668703611179815</v>
      </c>
      <c r="AO70" s="78">
        <v>16.710729561840086</v>
      </c>
      <c r="AP70" s="78">
        <v>16.754228470518772</v>
      </c>
      <c r="AQ70" s="78">
        <v>16.793381829035528</v>
      </c>
      <c r="AR70" s="78">
        <v>16.833241245264578</v>
      </c>
      <c r="AS70" s="78">
        <v>16.871033053223289</v>
      </c>
      <c r="AT70" s="78">
        <v>16.907206114014308</v>
      </c>
      <c r="AU70" s="78">
        <v>16.943643581925631</v>
      </c>
      <c r="AV70" s="78">
        <v>16.978354600397481</v>
      </c>
      <c r="AW70" s="78">
        <v>17.011275834125392</v>
      </c>
      <c r="AX70" s="78">
        <v>17.042249686665272</v>
      </c>
      <c r="AY70" s="78">
        <v>17.074133949213319</v>
      </c>
      <c r="AZ70" s="78">
        <v>17.104161065264378</v>
      </c>
      <c r="BA70" s="78">
        <v>17.132117823799774</v>
      </c>
      <c r="BB70" s="78">
        <v>17.159679498633064</v>
      </c>
      <c r="BC70" s="78">
        <v>17.185147580348133</v>
      </c>
      <c r="BD70" s="78">
        <v>17.21087652763692</v>
      </c>
      <c r="BE70" s="78">
        <v>17.235837071729218</v>
      </c>
      <c r="BF70" s="78">
        <v>17.259464465458507</v>
      </c>
      <c r="BG70" s="78">
        <v>17.281766802264922</v>
      </c>
      <c r="BH70" s="78">
        <v>17.303135058336014</v>
      </c>
      <c r="BI70" s="78">
        <v>17.323470265027748</v>
      </c>
      <c r="BJ70" s="78">
        <v>17.34248196464215</v>
      </c>
      <c r="BK70" s="78">
        <v>17.362578609576524</v>
      </c>
      <c r="BL70" s="78">
        <v>17.381187277421905</v>
      </c>
      <c r="BM70" s="78">
        <v>17.398897665386198</v>
      </c>
    </row>
    <row r="71" spans="1:65" s="33" customFormat="1" ht="15.5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13"/>
      <c r="L71" s="13"/>
      <c r="M71" s="2"/>
      <c r="N71" s="2"/>
      <c r="O71" s="2">
        <v>70</v>
      </c>
      <c r="P71" s="78">
        <v>14.16236736657072</v>
      </c>
      <c r="Q71" s="78">
        <v>14.620401274972135</v>
      </c>
      <c r="R71" s="78">
        <v>14.694861686677266</v>
      </c>
      <c r="S71" s="78">
        <v>14.770758944808236</v>
      </c>
      <c r="T71" s="78">
        <v>14.843603461750483</v>
      </c>
      <c r="U71" s="78">
        <v>14.915142332669415</v>
      </c>
      <c r="V71" s="78">
        <v>14.987087790501645</v>
      </c>
      <c r="W71" s="78">
        <v>15.056019504307793</v>
      </c>
      <c r="X71" s="78">
        <v>15.124410267721489</v>
      </c>
      <c r="Y71" s="78">
        <v>15.190222253596714</v>
      </c>
      <c r="Z71" s="78">
        <v>15.253888685702101</v>
      </c>
      <c r="AA71" s="78">
        <v>15.317008904775237</v>
      </c>
      <c r="AB71" s="78">
        <v>15.377824581894929</v>
      </c>
      <c r="AC71" s="78">
        <v>15.437560431581844</v>
      </c>
      <c r="AD71" s="78">
        <v>15.49579131488322</v>
      </c>
      <c r="AE71" s="78">
        <v>15.551955989378188</v>
      </c>
      <c r="AF71" s="78">
        <v>15.606145586896865</v>
      </c>
      <c r="AG71" s="78">
        <v>15.660837926494269</v>
      </c>
      <c r="AH71" s="78">
        <v>15.71716889457344</v>
      </c>
      <c r="AI71" s="78">
        <v>15.766601321940051</v>
      </c>
      <c r="AJ71" s="78">
        <v>15.818719281071191</v>
      </c>
      <c r="AK71" s="78">
        <v>15.868526431872231</v>
      </c>
      <c r="AL71" s="78">
        <v>15.907381797873517</v>
      </c>
      <c r="AM71" s="78">
        <v>15.957026473292048</v>
      </c>
      <c r="AN71" s="78">
        <v>15.99825015649313</v>
      </c>
      <c r="AO71" s="78">
        <v>16.038962399899599</v>
      </c>
      <c r="AP71" s="78">
        <v>16.081198349384636</v>
      </c>
      <c r="AQ71" s="78">
        <v>16.119109736721789</v>
      </c>
      <c r="AR71" s="78">
        <v>16.157794692439722</v>
      </c>
      <c r="AS71" s="78">
        <v>16.194447113226353</v>
      </c>
      <c r="AT71" s="78">
        <v>16.229487704077322</v>
      </c>
      <c r="AU71" s="78">
        <v>16.264888698953595</v>
      </c>
      <c r="AV71" s="78">
        <v>16.298584545413743</v>
      </c>
      <c r="AW71" s="78">
        <v>16.330508638247665</v>
      </c>
      <c r="AX71" s="78">
        <v>16.3605082228637</v>
      </c>
      <c r="AY71" s="78">
        <v>16.3915044318545</v>
      </c>
      <c r="AZ71" s="78">
        <v>16.420660539351097</v>
      </c>
      <c r="BA71" s="78">
        <v>16.44775547920073</v>
      </c>
      <c r="BB71" s="78">
        <v>16.474495030380531</v>
      </c>
      <c r="BC71" s="78">
        <v>16.499192355961782</v>
      </c>
      <c r="BD71" s="78">
        <v>16.524197892857451</v>
      </c>
      <c r="BE71" s="78">
        <v>16.54844084225811</v>
      </c>
      <c r="BF71" s="78">
        <v>16.571384061754685</v>
      </c>
      <c r="BG71" s="78">
        <v>16.593014314317546</v>
      </c>
      <c r="BH71" s="78">
        <v>16.613761983790965</v>
      </c>
      <c r="BI71" s="78">
        <v>16.633469860345116</v>
      </c>
      <c r="BJ71" s="78">
        <v>16.651877749971081</v>
      </c>
      <c r="BK71" s="78">
        <v>16.671463227475655</v>
      </c>
      <c r="BL71" s="78">
        <v>16.689537613829163</v>
      </c>
      <c r="BM71" s="78">
        <v>16.706719031022107</v>
      </c>
    </row>
    <row r="72" spans="1:65" s="33" customFormat="1" ht="15.5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13"/>
      <c r="L72" s="13"/>
      <c r="M72" s="2"/>
      <c r="N72" s="2"/>
      <c r="O72" s="2">
        <v>71</v>
      </c>
      <c r="P72" s="78">
        <v>13.558254284818357</v>
      </c>
      <c r="Q72" s="78">
        <v>14.002392686429314</v>
      </c>
      <c r="R72" s="78">
        <v>14.074405356711804</v>
      </c>
      <c r="S72" s="78">
        <v>14.147889053418156</v>
      </c>
      <c r="T72" s="78">
        <v>14.218417654556427</v>
      </c>
      <c r="U72" s="78">
        <v>14.287608383849047</v>
      </c>
      <c r="V72" s="78">
        <v>14.357395847097797</v>
      </c>
      <c r="W72" s="78">
        <v>14.424138557822031</v>
      </c>
      <c r="X72" s="78">
        <v>14.490402536681634</v>
      </c>
      <c r="Y72" s="78">
        <v>14.554157205197011</v>
      </c>
      <c r="Z72" s="78">
        <v>14.615757628017768</v>
      </c>
      <c r="AA72" s="78">
        <v>14.676888993975757</v>
      </c>
      <c r="AB72" s="78">
        <v>14.735734377570918</v>
      </c>
      <c r="AC72" s="78">
        <v>14.793644848773353</v>
      </c>
      <c r="AD72" s="78">
        <v>14.850032312485929</v>
      </c>
      <c r="AE72" s="78">
        <v>14.904392920861262</v>
      </c>
      <c r="AF72" s="78">
        <v>14.956860263541925</v>
      </c>
      <c r="AG72" s="78">
        <v>15.009888997379791</v>
      </c>
      <c r="AH72" s="78">
        <v>15.064690971549004</v>
      </c>
      <c r="AI72" s="78">
        <v>15.112518026210926</v>
      </c>
      <c r="AJ72" s="78">
        <v>15.163174937762944</v>
      </c>
      <c r="AK72" s="78">
        <v>15.211560118354191</v>
      </c>
      <c r="AL72" s="78">
        <v>15.248816430846384</v>
      </c>
      <c r="AM72" s="78">
        <v>15.297189244991651</v>
      </c>
      <c r="AN72" s="78">
        <v>15.337033032253382</v>
      </c>
      <c r="AO72" s="78">
        <v>15.376441718395188</v>
      </c>
      <c r="AP72" s="78">
        <v>15.417459367564659</v>
      </c>
      <c r="AQ72" s="78">
        <v>15.454160814668255</v>
      </c>
      <c r="AR72" s="78">
        <v>15.49168339468047</v>
      </c>
      <c r="AS72" s="78">
        <v>15.527220758222549</v>
      </c>
      <c r="AT72" s="78">
        <v>15.561170494850622</v>
      </c>
      <c r="AU72" s="78">
        <v>15.595556210501268</v>
      </c>
      <c r="AV72" s="78">
        <v>15.6282463362123</v>
      </c>
      <c r="AW72" s="78">
        <v>15.65920453358126</v>
      </c>
      <c r="AX72" s="78">
        <v>15.688255236431067</v>
      </c>
      <c r="AY72" s="78">
        <v>15.718373324148731</v>
      </c>
      <c r="AZ72" s="78">
        <v>15.746668821782249</v>
      </c>
      <c r="BA72" s="78">
        <v>15.772924539171333</v>
      </c>
      <c r="BB72" s="78">
        <v>15.798867051729363</v>
      </c>
      <c r="BC72" s="78">
        <v>15.822774192852615</v>
      </c>
      <c r="BD72" s="78">
        <v>15.847061092939867</v>
      </c>
      <c r="BE72" s="78">
        <v>15.870639683513568</v>
      </c>
      <c r="BF72" s="78">
        <v>15.892923504814059</v>
      </c>
      <c r="BG72" s="78">
        <v>15.913897302465891</v>
      </c>
      <c r="BH72" s="78">
        <v>15.934021645253249</v>
      </c>
      <c r="BI72" s="78">
        <v>15.953123373337124</v>
      </c>
      <c r="BJ72" s="78">
        <v>15.970953602373024</v>
      </c>
      <c r="BK72" s="78">
        <v>15.990005350009508</v>
      </c>
      <c r="BL72" s="78">
        <v>16.00755981960608</v>
      </c>
      <c r="BM72" s="78">
        <v>16.024258067736923</v>
      </c>
    </row>
    <row r="73" spans="1:65" s="33" customFormat="1" ht="15.5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13"/>
      <c r="L73" s="13"/>
      <c r="M73" s="2"/>
      <c r="N73" s="2"/>
      <c r="O73" s="2">
        <v>72</v>
      </c>
      <c r="P73" s="78">
        <v>12.959555102269396</v>
      </c>
      <c r="Q73" s="78">
        <v>13.392081467696297</v>
      </c>
      <c r="R73" s="78">
        <v>13.46182747804208</v>
      </c>
      <c r="S73" s="78">
        <v>13.533018792672863</v>
      </c>
      <c r="T73" s="78">
        <v>13.601223139302803</v>
      </c>
      <c r="U73" s="78">
        <v>13.668186685299919</v>
      </c>
      <c r="V73" s="78">
        <v>13.735826627667738</v>
      </c>
      <c r="W73" s="78">
        <v>13.800518950384101</v>
      </c>
      <c r="X73" s="78">
        <v>13.864726744076794</v>
      </c>
      <c r="Y73" s="78">
        <v>13.926467013863254</v>
      </c>
      <c r="Z73" s="78">
        <v>13.986093616590116</v>
      </c>
      <c r="AA73" s="78">
        <v>14.045239489255428</v>
      </c>
      <c r="AB73" s="78">
        <v>14.102141838654383</v>
      </c>
      <c r="AC73" s="78">
        <v>14.158234993592968</v>
      </c>
      <c r="AD73" s="78">
        <v>14.212925581952733</v>
      </c>
      <c r="AE73" s="78">
        <v>14.265473563519098</v>
      </c>
      <c r="AF73" s="78">
        <v>14.316219905758841</v>
      </c>
      <c r="AG73" s="78">
        <v>14.367669788531289</v>
      </c>
      <c r="AH73" s="78">
        <v>14.420942399070645</v>
      </c>
      <c r="AI73" s="78">
        <v>14.467186514678289</v>
      </c>
      <c r="AJ73" s="78">
        <v>14.516398670408419</v>
      </c>
      <c r="AK73" s="78">
        <v>14.563386686768284</v>
      </c>
      <c r="AL73" s="78">
        <v>14.599068281554628</v>
      </c>
      <c r="AM73" s="78">
        <v>14.646168979404251</v>
      </c>
      <c r="AN73" s="78">
        <v>14.684670351971883</v>
      </c>
      <c r="AO73" s="78">
        <v>14.722802622605805</v>
      </c>
      <c r="AP73" s="78">
        <v>14.762668525578201</v>
      </c>
      <c r="AQ73" s="78">
        <v>14.798167276220614</v>
      </c>
      <c r="AR73" s="78">
        <v>14.834610308724633</v>
      </c>
      <c r="AS73" s="78">
        <v>14.86900834088607</v>
      </c>
      <c r="AT73" s="78">
        <v>14.901904541147889</v>
      </c>
      <c r="AU73" s="78">
        <v>14.935287739375191</v>
      </c>
      <c r="AV73" s="78">
        <v>14.966994451331912</v>
      </c>
      <c r="AW73" s="78">
        <v>14.996954071282039</v>
      </c>
      <c r="AX73" s="78">
        <v>15.025070162281715</v>
      </c>
      <c r="AY73" s="78">
        <v>15.054317146705479</v>
      </c>
      <c r="AZ73" s="78">
        <v>15.081740433132463</v>
      </c>
      <c r="BA73" s="78">
        <v>15.10714281489747</v>
      </c>
      <c r="BB73" s="78">
        <v>15.132303709132508</v>
      </c>
      <c r="BC73" s="78">
        <v>15.155426932614541</v>
      </c>
      <c r="BD73" s="78">
        <v>15.178993405368386</v>
      </c>
      <c r="BE73" s="78">
        <v>15.201898188656445</v>
      </c>
      <c r="BF73" s="78">
        <v>15.223590218772195</v>
      </c>
      <c r="BG73" s="78">
        <v>15.2439276142645</v>
      </c>
      <c r="BH73" s="78">
        <v>15.26339703547141</v>
      </c>
      <c r="BI73" s="78">
        <v>15.281886911842431</v>
      </c>
      <c r="BJ73" s="78">
        <v>15.299118730268249</v>
      </c>
      <c r="BK73" s="78">
        <v>15.317671123210307</v>
      </c>
      <c r="BL73" s="78">
        <v>15.334680999257998</v>
      </c>
      <c r="BM73" s="78">
        <v>15.350889513307965</v>
      </c>
    </row>
    <row r="74" spans="1:65" s="33" customFormat="1" ht="15.5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13"/>
      <c r="L74" s="13"/>
      <c r="M74" s="2"/>
      <c r="N74" s="2"/>
      <c r="O74" s="2">
        <v>73</v>
      </c>
      <c r="P74" s="78">
        <v>12.36797027362571</v>
      </c>
      <c r="Q74" s="78">
        <v>12.786979891933559</v>
      </c>
      <c r="R74" s="78">
        <v>12.854416132544518</v>
      </c>
      <c r="S74" s="78">
        <v>12.923526347856576</v>
      </c>
      <c r="T74" s="78">
        <v>12.98944836766665</v>
      </c>
      <c r="U74" s="78">
        <v>13.054151684932876</v>
      </c>
      <c r="V74" s="78">
        <v>13.119686788819804</v>
      </c>
      <c r="W74" s="78">
        <v>13.182283889581186</v>
      </c>
      <c r="X74" s="78">
        <v>13.244584340876896</v>
      </c>
      <c r="Y74" s="78">
        <v>13.304329016995862</v>
      </c>
      <c r="Z74" s="78">
        <v>13.362039585998678</v>
      </c>
      <c r="AA74" s="78">
        <v>13.41932612517707</v>
      </c>
      <c r="AB74" s="78">
        <v>13.474277437442455</v>
      </c>
      <c r="AC74" s="78">
        <v>13.52850759766377</v>
      </c>
      <c r="AD74" s="78">
        <v>13.581527660657454</v>
      </c>
      <c r="AE74" s="78">
        <v>13.632475805973796</v>
      </c>
      <c r="AF74" s="78">
        <v>13.681452041285407</v>
      </c>
      <c r="AG74" s="78">
        <v>13.731342896987616</v>
      </c>
      <c r="AH74" s="78">
        <v>13.783212088071556</v>
      </c>
      <c r="AI74" s="78">
        <v>13.8278633129936</v>
      </c>
      <c r="AJ74" s="78">
        <v>13.875673821910478</v>
      </c>
      <c r="AK74" s="78">
        <v>13.921277130113042</v>
      </c>
      <c r="AL74" s="78">
        <v>13.955415018778895</v>
      </c>
      <c r="AM74" s="78">
        <v>14.001305756777482</v>
      </c>
      <c r="AN74" s="78">
        <v>14.03844431242185</v>
      </c>
      <c r="AO74" s="78">
        <v>14.075346878327025</v>
      </c>
      <c r="AP74" s="78">
        <v>14.114114248959087</v>
      </c>
      <c r="AQ74" s="78">
        <v>14.148482696104436</v>
      </c>
      <c r="AR74" s="78">
        <v>14.183883051601821</v>
      </c>
      <c r="AS74" s="78">
        <v>14.217259223113338</v>
      </c>
      <c r="AT74" s="78">
        <v>14.249072641372383</v>
      </c>
      <c r="AU74" s="78">
        <v>14.281515700837151</v>
      </c>
      <c r="AV74" s="78">
        <v>14.31227736332159</v>
      </c>
      <c r="AW74" s="78">
        <v>14.341274471651978</v>
      </c>
      <c r="AX74" s="78">
        <v>14.36841303779252</v>
      </c>
      <c r="AY74" s="78">
        <v>14.396827975421097</v>
      </c>
      <c r="AZ74" s="78">
        <v>14.423398502349576</v>
      </c>
      <c r="BA74" s="78">
        <v>14.447930250383457</v>
      </c>
      <c r="BB74" s="78">
        <v>14.472294258895429</v>
      </c>
      <c r="BC74" s="78">
        <v>14.494661006960522</v>
      </c>
      <c r="BD74" s="78">
        <v>14.517528653971985</v>
      </c>
      <c r="BE74" s="78">
        <v>14.539742663059117</v>
      </c>
      <c r="BF74" s="78">
        <v>14.560825118538585</v>
      </c>
      <c r="BG74" s="78">
        <v>14.580637864085077</v>
      </c>
      <c r="BH74" s="78">
        <v>14.59948617814139</v>
      </c>
      <c r="BI74" s="78">
        <v>14.617323008421364</v>
      </c>
      <c r="BJ74" s="78">
        <v>14.633940241769473</v>
      </c>
      <c r="BK74" s="78">
        <v>14.651972634425805</v>
      </c>
      <c r="BL74" s="78">
        <v>14.668489171838868</v>
      </c>
      <c r="BM74" s="78">
        <v>14.68415400599398</v>
      </c>
    </row>
    <row r="75" spans="1:65" s="33" customFormat="1" ht="15.5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13"/>
      <c r="L75" s="13"/>
      <c r="M75" s="2"/>
      <c r="N75" s="2"/>
      <c r="O75" s="2">
        <v>74</v>
      </c>
      <c r="P75" s="78">
        <v>11.78514430159294</v>
      </c>
      <c r="Q75" s="78">
        <v>12.187484209700077</v>
      </c>
      <c r="R75" s="78">
        <v>12.252384989349792</v>
      </c>
      <c r="S75" s="78">
        <v>12.319304305706391</v>
      </c>
      <c r="T75" s="78">
        <v>12.383230184041357</v>
      </c>
      <c r="U75" s="78">
        <v>12.44569720031671</v>
      </c>
      <c r="V75" s="78">
        <v>12.509061340380086</v>
      </c>
      <c r="W75" s="78">
        <v>12.569579456193374</v>
      </c>
      <c r="X75" s="78">
        <v>12.629885838079765</v>
      </c>
      <c r="Y75" s="78">
        <v>12.687820135835576</v>
      </c>
      <c r="Z75" s="78">
        <v>12.74359967299883</v>
      </c>
      <c r="AA75" s="78">
        <v>12.79910502044658</v>
      </c>
      <c r="AB75" s="78">
        <v>12.852267340391254</v>
      </c>
      <c r="AC75" s="78">
        <v>12.904617160427348</v>
      </c>
      <c r="AD75" s="78">
        <v>12.955843924837776</v>
      </c>
      <c r="AE75" s="78">
        <v>13.005233272894319</v>
      </c>
      <c r="AF75" s="78">
        <v>13.052713311290011</v>
      </c>
      <c r="AG75" s="78">
        <v>13.100949784194912</v>
      </c>
      <c r="AH75" s="78">
        <v>13.151454021595487</v>
      </c>
      <c r="AI75" s="78">
        <v>13.194647450320414</v>
      </c>
      <c r="AJ75" s="78">
        <v>13.24105262950188</v>
      </c>
      <c r="AK75" s="78">
        <v>13.285314125577361</v>
      </c>
      <c r="AL75" s="78">
        <v>13.317883603486729</v>
      </c>
      <c r="AM75" s="78">
        <v>13.362643504555296</v>
      </c>
      <c r="AN75" s="78">
        <v>13.398459790190243</v>
      </c>
      <c r="AO75" s="78">
        <v>13.434097821924263</v>
      </c>
      <c r="AP75" s="78">
        <v>13.471800562736068</v>
      </c>
      <c r="AQ75" s="78">
        <v>13.505091978086353</v>
      </c>
      <c r="AR75" s="78">
        <v>13.539500138216081</v>
      </c>
      <c r="AS75" s="78">
        <v>13.571913096412551</v>
      </c>
      <c r="AT75" s="78">
        <v>13.602763971332674</v>
      </c>
      <c r="AU75" s="78">
        <v>13.634231385840815</v>
      </c>
      <c r="AV75" s="78">
        <v>13.664110625160587</v>
      </c>
      <c r="AW75" s="78">
        <v>13.692211700764032</v>
      </c>
      <c r="AX75" s="78">
        <v>13.718406491073234</v>
      </c>
      <c r="AY75" s="78">
        <v>13.74594333630597</v>
      </c>
      <c r="AZ75" s="78">
        <v>13.77171642732597</v>
      </c>
      <c r="BA75" s="78">
        <v>13.795408780929074</v>
      </c>
      <c r="BB75" s="78">
        <v>13.818951211205659</v>
      </c>
      <c r="BC75" s="78">
        <v>13.840539333866863</v>
      </c>
      <c r="BD75" s="78">
        <v>13.862748030083049</v>
      </c>
      <c r="BE75" s="78">
        <v>13.884306805849032</v>
      </c>
      <c r="BF75" s="78">
        <v>13.904721326468682</v>
      </c>
      <c r="BG75" s="78">
        <v>13.9239786302158</v>
      </c>
      <c r="BH75" s="78">
        <v>13.942358031716921</v>
      </c>
      <c r="BI75" s="78">
        <v>13.959586442926019</v>
      </c>
      <c r="BJ75" s="78">
        <v>13.975555446817513</v>
      </c>
      <c r="BK75" s="78">
        <v>13.993036116693556</v>
      </c>
      <c r="BL75" s="78">
        <v>14.009052021127324</v>
      </c>
      <c r="BM75" s="78">
        <v>14.024239252309309</v>
      </c>
    </row>
    <row r="76" spans="1:65" s="33" customFormat="1" ht="15.5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13"/>
      <c r="L76" s="13"/>
      <c r="M76" s="2"/>
      <c r="N76" s="2"/>
      <c r="O76" s="2">
        <v>75</v>
      </c>
      <c r="P76" s="78">
        <v>11.208008918971208</v>
      </c>
      <c r="Q76" s="78">
        <v>11.595298089376065</v>
      </c>
      <c r="R76" s="78">
        <v>11.657774990509925</v>
      </c>
      <c r="S76" s="78">
        <v>11.722310386125642</v>
      </c>
      <c r="T76" s="78">
        <v>11.784163790884156</v>
      </c>
      <c r="U76" s="78">
        <v>11.844763478415434</v>
      </c>
      <c r="V76" s="78">
        <v>11.906017024421477</v>
      </c>
      <c r="W76" s="78">
        <v>11.964426685347203</v>
      </c>
      <c r="X76" s="78">
        <v>12.022763498652681</v>
      </c>
      <c r="Y76" s="78">
        <v>12.07880936965285</v>
      </c>
      <c r="Z76" s="78">
        <v>12.132877108368465</v>
      </c>
      <c r="AA76" s="78">
        <v>12.186585500000676</v>
      </c>
      <c r="AB76" s="78">
        <v>12.238066529041975</v>
      </c>
      <c r="AC76" s="78">
        <v>12.288735564389084</v>
      </c>
      <c r="AD76" s="78">
        <v>12.338162652089489</v>
      </c>
      <c r="AE76" s="78">
        <v>12.385824473101774</v>
      </c>
      <c r="AF76" s="78">
        <v>12.431869849478954</v>
      </c>
      <c r="AG76" s="78">
        <v>12.478776993686617</v>
      </c>
      <c r="AH76" s="78">
        <v>12.527802315637722</v>
      </c>
      <c r="AI76" s="78">
        <v>12.569576517982275</v>
      </c>
      <c r="AJ76" s="78">
        <v>12.614741623758617</v>
      </c>
      <c r="AK76" s="78">
        <v>12.65765812064882</v>
      </c>
      <c r="AL76" s="78">
        <v>12.688679613630265</v>
      </c>
      <c r="AM76" s="78">
        <v>12.732306614878917</v>
      </c>
      <c r="AN76" s="78">
        <v>12.766879696880908</v>
      </c>
      <c r="AO76" s="78">
        <v>12.801293199408194</v>
      </c>
      <c r="AP76" s="78">
        <v>12.83789305904908</v>
      </c>
      <c r="AQ76" s="78">
        <v>12.870123051115378</v>
      </c>
      <c r="AR76" s="78">
        <v>12.903604740547374</v>
      </c>
      <c r="AS76" s="78">
        <v>12.935089509278567</v>
      </c>
      <c r="AT76" s="78">
        <v>12.96505394389688</v>
      </c>
      <c r="AU76" s="78">
        <v>12.995680546862937</v>
      </c>
      <c r="AV76" s="78">
        <v>13.024632944089321</v>
      </c>
      <c r="AW76" s="78">
        <v>13.051904802897527</v>
      </c>
      <c r="AX76" s="78">
        <v>13.077243624614967</v>
      </c>
      <c r="AY76" s="78">
        <v>13.103944455948302</v>
      </c>
      <c r="AZ76" s="78">
        <v>13.128864896635944</v>
      </c>
      <c r="BA76" s="78">
        <v>13.151786691049351</v>
      </c>
      <c r="BB76" s="78">
        <v>13.174552447375254</v>
      </c>
      <c r="BC76" s="78">
        <v>13.195328470529844</v>
      </c>
      <c r="BD76" s="78">
        <v>13.216856429943675</v>
      </c>
      <c r="BE76" s="78">
        <v>13.237811983072929</v>
      </c>
      <c r="BF76" s="78">
        <v>13.257607042733046</v>
      </c>
      <c r="BG76" s="78">
        <v>13.276222688460273</v>
      </c>
      <c r="BH76" s="78">
        <v>13.294095000828616</v>
      </c>
      <c r="BI76" s="78">
        <v>13.310909160334408</v>
      </c>
      <c r="BJ76" s="78">
        <v>13.326287838561646</v>
      </c>
      <c r="BK76" s="78">
        <v>13.343192714608662</v>
      </c>
      <c r="BL76" s="78">
        <v>13.358663710465285</v>
      </c>
      <c r="BM76" s="78">
        <v>13.373377329257895</v>
      </c>
    </row>
    <row r="77" spans="1:65" s="33" customFormat="1" ht="15.5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13"/>
      <c r="L77" s="13"/>
      <c r="M77" s="2"/>
      <c r="N77" s="2"/>
      <c r="O77" s="2">
        <v>76</v>
      </c>
      <c r="P77" s="78">
        <v>10.635028956150595</v>
      </c>
      <c r="Q77" s="78">
        <v>11.008042433562039</v>
      </c>
      <c r="R77" s="78">
        <v>11.068512948049676</v>
      </c>
      <c r="S77" s="78">
        <v>11.130733807287896</v>
      </c>
      <c r="T77" s="78">
        <v>11.190173786843456</v>
      </c>
      <c r="U77" s="78">
        <v>11.248761520700382</v>
      </c>
      <c r="V77" s="78">
        <v>11.308239496867387</v>
      </c>
      <c r="W77" s="78">
        <v>11.364513695884057</v>
      </c>
      <c r="X77" s="78">
        <v>11.420854408423033</v>
      </c>
      <c r="Y77" s="78">
        <v>11.474933640050141</v>
      </c>
      <c r="Z77" s="78">
        <v>11.527182577942789</v>
      </c>
      <c r="AA77" s="78">
        <v>11.579254109877846</v>
      </c>
      <c r="AB77" s="78">
        <v>11.62897400777471</v>
      </c>
      <c r="AC77" s="78">
        <v>11.678056677344195</v>
      </c>
      <c r="AD77" s="78">
        <v>11.72584892692123</v>
      </c>
      <c r="AE77" s="78">
        <v>11.771766589635787</v>
      </c>
      <c r="AF77" s="78">
        <v>11.816142631681355</v>
      </c>
      <c r="AG77" s="78">
        <v>11.861787976282171</v>
      </c>
      <c r="AH77" s="78">
        <v>11.909621055538706</v>
      </c>
      <c r="AI77" s="78">
        <v>11.949817822308718</v>
      </c>
      <c r="AJ77" s="78">
        <v>11.993793115323703</v>
      </c>
      <c r="AK77" s="78">
        <v>12.035491747323928</v>
      </c>
      <c r="AL77" s="78">
        <v>12.064930648069156</v>
      </c>
      <c r="AM77" s="78">
        <v>12.107462835488606</v>
      </c>
      <c r="AN77" s="78">
        <v>12.140753004968186</v>
      </c>
      <c r="AO77" s="78">
        <v>12.174017448220459</v>
      </c>
      <c r="AP77" s="78">
        <v>12.20953582591355</v>
      </c>
      <c r="AQ77" s="78">
        <v>12.240649913168484</v>
      </c>
      <c r="AR77" s="78">
        <v>12.273194008086726</v>
      </c>
      <c r="AS77" s="78">
        <v>12.303799030987493</v>
      </c>
      <c r="AT77" s="78">
        <v>12.33286802326373</v>
      </c>
      <c r="AU77" s="78">
        <v>12.362733450614988</v>
      </c>
      <c r="AV77" s="78">
        <v>12.390855310234752</v>
      </c>
      <c r="AW77" s="78">
        <v>12.417251968917922</v>
      </c>
      <c r="AX77" s="78">
        <v>12.441778507530046</v>
      </c>
      <c r="AY77" s="78">
        <v>12.467737855731308</v>
      </c>
      <c r="AZ77" s="78">
        <v>12.491830588355445</v>
      </c>
      <c r="BA77" s="78">
        <v>12.513928596580755</v>
      </c>
      <c r="BB77" s="78">
        <v>12.535982042830303</v>
      </c>
      <c r="BC77" s="78">
        <v>12.555985325070408</v>
      </c>
      <c r="BD77" s="78">
        <v>12.576798901310285</v>
      </c>
      <c r="BE77" s="78">
        <v>12.597126850687076</v>
      </c>
      <c r="BF77" s="78">
        <v>12.616344959579733</v>
      </c>
      <c r="BG77" s="78">
        <v>12.634361307856233</v>
      </c>
      <c r="BH77" s="78">
        <v>12.651620600351073</v>
      </c>
      <c r="BI77" s="78">
        <v>12.667975572976568</v>
      </c>
      <c r="BJ77" s="78">
        <v>12.682938908203397</v>
      </c>
      <c r="BK77" s="78">
        <v>12.699320869152986</v>
      </c>
      <c r="BL77" s="78">
        <v>12.714229169094599</v>
      </c>
      <c r="BM77" s="78">
        <v>12.728413278883314</v>
      </c>
    </row>
    <row r="78" spans="1:65" s="33" customFormat="1" ht="15.5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13"/>
      <c r="L78" s="13"/>
      <c r="M78" s="2"/>
      <c r="N78" s="2"/>
      <c r="O78" s="2">
        <v>77</v>
      </c>
      <c r="P78" s="78">
        <v>10.06991047573081</v>
      </c>
      <c r="Q78" s="78">
        <v>10.425217241235952</v>
      </c>
      <c r="R78" s="78">
        <v>10.483805656939115</v>
      </c>
      <c r="S78" s="78">
        <v>10.544107774598961</v>
      </c>
      <c r="T78" s="78">
        <v>10.601401113225808</v>
      </c>
      <c r="U78" s="78">
        <v>10.657874078196185</v>
      </c>
      <c r="V78" s="78">
        <v>10.715660676736656</v>
      </c>
      <c r="W78" s="78">
        <v>10.770174035103611</v>
      </c>
      <c r="X78" s="78">
        <v>10.824615190023978</v>
      </c>
      <c r="Y78" s="78">
        <v>10.876923286815034</v>
      </c>
      <c r="Z78" s="78">
        <v>10.92734971286402</v>
      </c>
      <c r="AA78" s="78">
        <v>10.977859164701236</v>
      </c>
      <c r="AB78" s="78">
        <v>11.026007936946419</v>
      </c>
      <c r="AC78" s="78">
        <v>11.073519822988564</v>
      </c>
      <c r="AD78" s="78">
        <v>11.119878460757167</v>
      </c>
      <c r="AE78" s="78">
        <v>11.164267883202436</v>
      </c>
      <c r="AF78" s="78">
        <v>11.207087430408686</v>
      </c>
      <c r="AG78" s="78">
        <v>11.251324967056354</v>
      </c>
      <c r="AH78" s="78">
        <v>11.298153025660142</v>
      </c>
      <c r="AI78" s="78">
        <v>11.337030099905464</v>
      </c>
      <c r="AJ78" s="78">
        <v>11.379768070071952</v>
      </c>
      <c r="AK78" s="78">
        <v>11.420393846027679</v>
      </c>
      <c r="AL78" s="78">
        <v>11.448367915935018</v>
      </c>
      <c r="AM78" s="78">
        <v>11.489902634023355</v>
      </c>
      <c r="AN78" s="78">
        <v>11.521984574714825</v>
      </c>
      <c r="AO78" s="78">
        <v>11.554125704934634</v>
      </c>
      <c r="AP78" s="78">
        <v>11.588709638850039</v>
      </c>
      <c r="AQ78" s="78">
        <v>11.618753859882107</v>
      </c>
      <c r="AR78" s="78">
        <v>11.650381242366306</v>
      </c>
      <c r="AS78" s="78">
        <v>11.680114059495187</v>
      </c>
      <c r="AT78" s="78">
        <v>11.708373971859711</v>
      </c>
      <c r="AU78" s="78">
        <v>11.73747162840713</v>
      </c>
      <c r="AV78" s="78">
        <v>11.764896266784225</v>
      </c>
      <c r="AW78" s="78">
        <v>11.790504628467724</v>
      </c>
      <c r="AX78" s="78">
        <v>11.814234105995968</v>
      </c>
      <c r="AY78" s="78">
        <v>11.839521618673967</v>
      </c>
      <c r="AZ78" s="78">
        <v>11.862929657810414</v>
      </c>
      <c r="BA78" s="78">
        <v>11.884253537861753</v>
      </c>
      <c r="BB78" s="78">
        <v>11.905607717278166</v>
      </c>
      <c r="BC78" s="78">
        <v>11.924935851556869</v>
      </c>
      <c r="BD78" s="78">
        <v>11.945121361322755</v>
      </c>
      <c r="BE78" s="78">
        <v>11.964833185884459</v>
      </c>
      <c r="BF78" s="78">
        <v>11.983493643395581</v>
      </c>
      <c r="BG78" s="78">
        <v>12.000982082815856</v>
      </c>
      <c r="BH78" s="78">
        <v>12.017705646987837</v>
      </c>
      <c r="BI78" s="78">
        <v>12.033511681342736</v>
      </c>
      <c r="BJ78" s="78">
        <v>12.048048297634912</v>
      </c>
      <c r="BK78" s="78">
        <v>12.064092819983857</v>
      </c>
      <c r="BL78" s="78">
        <v>12.078512535524929</v>
      </c>
      <c r="BM78" s="78">
        <v>12.092205829695477</v>
      </c>
    </row>
    <row r="79" spans="1:65" s="33" customFormat="1" ht="15.5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13"/>
      <c r="L79" s="13"/>
      <c r="M79" s="2"/>
      <c r="N79" s="2"/>
      <c r="O79" s="2">
        <v>78</v>
      </c>
      <c r="P79" s="78">
        <v>9.5178676563108944</v>
      </c>
      <c r="Q79" s="78">
        <v>9.8513078422318241</v>
      </c>
      <c r="R79" s="78">
        <v>9.9078191165282234</v>
      </c>
      <c r="S79" s="78">
        <v>9.9663927970804913</v>
      </c>
      <c r="T79" s="78">
        <v>10.022149587863209</v>
      </c>
      <c r="U79" s="78">
        <v>10.07682227099029</v>
      </c>
      <c r="V79" s="78">
        <v>10.132863429088976</v>
      </c>
      <c r="W79" s="78">
        <v>10.185722773750935</v>
      </c>
      <c r="X79" s="78">
        <v>10.238737630632967</v>
      </c>
      <c r="Y79" s="78">
        <v>10.289430458827365</v>
      </c>
      <c r="Z79" s="78">
        <v>10.338220863370754</v>
      </c>
      <c r="AA79" s="78">
        <v>10.387244451020662</v>
      </c>
      <c r="AB79" s="78">
        <v>10.433909190497744</v>
      </c>
      <c r="AC79" s="78">
        <v>10.480104455678124</v>
      </c>
      <c r="AD79" s="78">
        <v>10.525091569133053</v>
      </c>
      <c r="AE79" s="78">
        <v>10.568169050402648</v>
      </c>
      <c r="AF79" s="78">
        <v>10.609676073070089</v>
      </c>
      <c r="AG79" s="78">
        <v>10.652637383438083</v>
      </c>
      <c r="AH79" s="78">
        <v>10.698380034070855</v>
      </c>
      <c r="AI79" s="78">
        <v>10.736107701073808</v>
      </c>
      <c r="AJ79" s="78">
        <v>10.77791271470139</v>
      </c>
      <c r="AK79" s="78">
        <v>10.81744325046186</v>
      </c>
      <c r="AL79" s="78">
        <v>10.844058559266541</v>
      </c>
      <c r="AM79" s="78">
        <v>10.884781826656242</v>
      </c>
      <c r="AN79" s="78">
        <v>10.915731346942978</v>
      </c>
      <c r="AO79" s="78">
        <v>10.946837913105433</v>
      </c>
      <c r="AP79" s="78">
        <v>10.980540721884887</v>
      </c>
      <c r="AQ79" s="78">
        <v>11.009652110468368</v>
      </c>
      <c r="AR79" s="78">
        <v>11.040433084692555</v>
      </c>
      <c r="AS79" s="78">
        <v>11.069324244971137</v>
      </c>
      <c r="AT79" s="78">
        <v>11.096801623010986</v>
      </c>
      <c r="AU79" s="78">
        <v>11.125231606075156</v>
      </c>
      <c r="AV79" s="78">
        <v>11.151975450620419</v>
      </c>
      <c r="AW79" s="78">
        <v>11.176922106761371</v>
      </c>
      <c r="AX79" s="78">
        <v>11.199948193470764</v>
      </c>
      <c r="AY79" s="78">
        <v>11.224593514213387</v>
      </c>
      <c r="AZ79" s="78">
        <v>11.24739010581402</v>
      </c>
      <c r="BA79" s="78">
        <v>11.268070351299581</v>
      </c>
      <c r="BB79" s="78">
        <v>11.288781803181124</v>
      </c>
      <c r="BC79" s="78">
        <v>11.307448813132288</v>
      </c>
      <c r="BD79" s="78">
        <v>11.327105832479042</v>
      </c>
      <c r="BE79" s="78">
        <v>11.346287274117218</v>
      </c>
      <c r="BF79" s="78">
        <v>11.364408628911169</v>
      </c>
      <c r="BG79" s="78">
        <v>11.381393062598615</v>
      </c>
      <c r="BH79" s="78">
        <v>11.39765238668487</v>
      </c>
      <c r="BI79" s="78">
        <v>11.41298405613434</v>
      </c>
      <c r="BJ79" s="78">
        <v>11.427023091528786</v>
      </c>
      <c r="BK79" s="78">
        <v>11.442735761766571</v>
      </c>
      <c r="BL79" s="78">
        <v>11.456836214347357</v>
      </c>
      <c r="BM79" s="78">
        <v>11.470111020612819</v>
      </c>
    </row>
    <row r="80" spans="1:65" s="33" customFormat="1" ht="15.5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13"/>
      <c r="L80" s="13"/>
      <c r="M80" s="2"/>
      <c r="N80" s="2"/>
      <c r="O80" s="2">
        <v>79</v>
      </c>
      <c r="P80" s="78">
        <v>8.9791923967472798</v>
      </c>
      <c r="Q80" s="78">
        <v>9.2931331706733875</v>
      </c>
      <c r="R80" s="78">
        <v>9.3480207764144883</v>
      </c>
      <c r="S80" s="78">
        <v>9.4045269213882996</v>
      </c>
      <c r="T80" s="78">
        <v>9.4586483196808651</v>
      </c>
      <c r="U80" s="78">
        <v>9.5121138874151399</v>
      </c>
      <c r="V80" s="78">
        <v>9.5664620227616108</v>
      </c>
      <c r="W80" s="78">
        <v>9.6174327884504329</v>
      </c>
      <c r="X80" s="78">
        <v>9.6689006380011708</v>
      </c>
      <c r="Y80" s="78">
        <v>9.7183193942784847</v>
      </c>
      <c r="Z80" s="78">
        <v>9.7655044860346472</v>
      </c>
      <c r="AA80" s="78">
        <v>9.8129327308559038</v>
      </c>
      <c r="AB80" s="78">
        <v>9.8581364782761103</v>
      </c>
      <c r="AC80" s="78">
        <v>9.902896900376561</v>
      </c>
      <c r="AD80" s="78">
        <v>9.9467044719127848</v>
      </c>
      <c r="AE80" s="78">
        <v>9.9884367730167476</v>
      </c>
      <c r="AF80" s="78">
        <v>10.028681968411398</v>
      </c>
      <c r="AG80" s="78">
        <v>10.070520621146013</v>
      </c>
      <c r="AH80" s="78">
        <v>10.115160153155454</v>
      </c>
      <c r="AI80" s="78">
        <v>10.151579845476654</v>
      </c>
      <c r="AJ80" s="78">
        <v>10.192486049114924</v>
      </c>
      <c r="AK80" s="78">
        <v>10.231189460486981</v>
      </c>
      <c r="AL80" s="78">
        <v>10.256272245164611</v>
      </c>
      <c r="AM80" s="78">
        <v>10.296216113926613</v>
      </c>
      <c r="AN80" s="78">
        <v>10.326130471804118</v>
      </c>
      <c r="AO80" s="78">
        <v>10.356158264852246</v>
      </c>
      <c r="AP80" s="78">
        <v>10.389001023842065</v>
      </c>
      <c r="AQ80" s="78">
        <v>10.417138744733203</v>
      </c>
      <c r="AR80" s="78">
        <v>10.447124960713195</v>
      </c>
      <c r="AS80" s="78">
        <v>10.475192457858645</v>
      </c>
      <c r="AT80" s="78">
        <v>10.501833605446448</v>
      </c>
      <c r="AU80" s="78">
        <v>10.529604012287255</v>
      </c>
      <c r="AV80" s="78">
        <v>10.555705916402305</v>
      </c>
      <c r="AW80" s="78">
        <v>10.580007480376421</v>
      </c>
      <c r="AX80" s="78">
        <v>10.602367368149155</v>
      </c>
      <c r="AY80" s="78">
        <v>10.626469410947253</v>
      </c>
      <c r="AZ80" s="78">
        <v>10.648603231064541</v>
      </c>
      <c r="BA80" s="78">
        <v>10.668673921684398</v>
      </c>
      <c r="BB80" s="78">
        <v>10.688798639604791</v>
      </c>
      <c r="BC80" s="78">
        <v>10.706814592164493</v>
      </c>
      <c r="BD80" s="78">
        <v>10.725890754583551</v>
      </c>
      <c r="BE80" s="78">
        <v>10.74458903768703</v>
      </c>
      <c r="BF80" s="78">
        <v>10.762198246486887</v>
      </c>
      <c r="BG80" s="78">
        <v>10.778646632133063</v>
      </c>
      <c r="BH80" s="78">
        <v>10.794414757181057</v>
      </c>
      <c r="BI80" s="78">
        <v>10.809302593406148</v>
      </c>
      <c r="BJ80" s="78">
        <v>10.822869333580787</v>
      </c>
      <c r="BK80" s="78">
        <v>10.838180864661872</v>
      </c>
      <c r="BL80" s="78">
        <v>10.851929230390216</v>
      </c>
      <c r="BM80" s="78">
        <v>10.864932134337378</v>
      </c>
    </row>
    <row r="81" spans="1:65" s="33" customFormat="1" ht="15.5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13"/>
      <c r="L81" s="13"/>
      <c r="M81" s="2"/>
      <c r="N81" s="2"/>
      <c r="O81" s="2">
        <v>80</v>
      </c>
      <c r="P81" s="78">
        <v>8.4458389741403703</v>
      </c>
      <c r="Q81" s="78">
        <v>8.7484034753179287</v>
      </c>
      <c r="R81" s="78">
        <v>8.8016017387828924</v>
      </c>
      <c r="S81" s="78">
        <v>8.8558583404269111</v>
      </c>
      <c r="T81" s="78">
        <v>8.9079871117550766</v>
      </c>
      <c r="U81" s="78">
        <v>8.9600930806859864</v>
      </c>
      <c r="V81" s="78">
        <v>9.0126458155370539</v>
      </c>
      <c r="W81" s="78">
        <v>9.0616574868553847</v>
      </c>
      <c r="X81" s="78">
        <v>9.1113221752681905</v>
      </c>
      <c r="Y81" s="78">
        <v>9.1593216186193533</v>
      </c>
      <c r="Z81" s="78">
        <v>9.2048715531806415</v>
      </c>
      <c r="AA81" s="78">
        <v>9.2505548467316032</v>
      </c>
      <c r="AB81" s="78">
        <v>9.2942351625306863</v>
      </c>
      <c r="AC81" s="78">
        <v>9.3373655386605332</v>
      </c>
      <c r="AD81" s="78">
        <v>9.3798723931088173</v>
      </c>
      <c r="AE81" s="78">
        <v>9.4201811703469769</v>
      </c>
      <c r="AF81" s="78">
        <v>9.4590072790395237</v>
      </c>
      <c r="AG81" s="78">
        <v>9.4996877718730808</v>
      </c>
      <c r="AH81" s="78">
        <v>9.543217756822278</v>
      </c>
      <c r="AI81" s="78">
        <v>9.578244940797223</v>
      </c>
      <c r="AJ81" s="78">
        <v>9.6180515476776733</v>
      </c>
      <c r="AK81" s="78">
        <v>9.6559024278373382</v>
      </c>
      <c r="AL81" s="78">
        <v>9.6794219208416088</v>
      </c>
      <c r="AM81" s="78">
        <v>9.7184602862161427</v>
      </c>
      <c r="AN81" s="78">
        <v>9.7472821983532558</v>
      </c>
      <c r="AO81" s="78">
        <v>9.7761906519000714</v>
      </c>
      <c r="AP81" s="78">
        <v>9.8081132334606291</v>
      </c>
      <c r="AQ81" s="78">
        <v>9.8352072163734618</v>
      </c>
      <c r="AR81" s="78">
        <v>9.8643168203068274</v>
      </c>
      <c r="AS81" s="78">
        <v>9.8915387398863359</v>
      </c>
      <c r="AT81" s="78">
        <v>9.917275507496889</v>
      </c>
      <c r="AU81" s="78">
        <v>9.9443086477821634</v>
      </c>
      <c r="AV81" s="78">
        <v>9.9696913295097396</v>
      </c>
      <c r="AW81" s="78">
        <v>9.9933126251575946</v>
      </c>
      <c r="AX81" s="78">
        <v>10.014922928086476</v>
      </c>
      <c r="AY81" s="78">
        <v>10.038476843427814</v>
      </c>
      <c r="AZ81" s="78">
        <v>10.059933447012073</v>
      </c>
      <c r="BA81" s="78">
        <v>10.079317381058589</v>
      </c>
      <c r="BB81" s="78">
        <v>10.098822398999717</v>
      </c>
      <c r="BC81" s="78">
        <v>10.116185278752068</v>
      </c>
      <c r="BD81" s="78">
        <v>10.13464318426467</v>
      </c>
      <c r="BE81" s="78">
        <v>10.152793509032787</v>
      </c>
      <c r="BF81" s="78">
        <v>10.169881878154126</v>
      </c>
      <c r="BG81" s="78">
        <v>10.185774642587118</v>
      </c>
      <c r="BH81" s="78">
        <v>10.200990714650919</v>
      </c>
      <c r="BI81" s="78">
        <v>10.215377744908862</v>
      </c>
      <c r="BJ81" s="78">
        <v>10.228449908535108</v>
      </c>
      <c r="BK81" s="78">
        <v>10.243349460335526</v>
      </c>
      <c r="BL81" s="78">
        <v>10.256643139990627</v>
      </c>
      <c r="BM81" s="78">
        <v>10.269313311902598</v>
      </c>
    </row>
    <row r="82" spans="1:65" ht="15.5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13"/>
      <c r="L82" s="13"/>
      <c r="M82" s="2"/>
      <c r="N82" s="4" t="s">
        <v>19</v>
      </c>
      <c r="O82" s="4" t="s">
        <v>17</v>
      </c>
      <c r="P82" s="131">
        <v>2022</v>
      </c>
      <c r="Q82" s="131">
        <v>2023</v>
      </c>
      <c r="R82" s="131">
        <v>2024</v>
      </c>
      <c r="S82" s="131">
        <v>2025</v>
      </c>
      <c r="T82" s="131">
        <v>2026</v>
      </c>
      <c r="U82" s="131">
        <v>2027</v>
      </c>
      <c r="V82" s="131">
        <v>2028</v>
      </c>
      <c r="W82" s="131">
        <v>2029</v>
      </c>
      <c r="X82" s="131">
        <v>2030</v>
      </c>
      <c r="Y82" s="131">
        <v>2031</v>
      </c>
      <c r="Z82" s="131">
        <v>2032</v>
      </c>
      <c r="AA82" s="131">
        <v>2033</v>
      </c>
      <c r="AB82" s="131">
        <v>2034</v>
      </c>
      <c r="AC82" s="131">
        <v>2035</v>
      </c>
      <c r="AD82" s="131">
        <v>2036</v>
      </c>
      <c r="AE82" s="131">
        <v>2037</v>
      </c>
      <c r="AF82" s="131">
        <v>2038</v>
      </c>
      <c r="AG82" s="131">
        <v>2039</v>
      </c>
      <c r="AH82" s="131">
        <v>2040</v>
      </c>
      <c r="AI82" s="131">
        <v>2041</v>
      </c>
      <c r="AJ82" s="131">
        <v>2042</v>
      </c>
      <c r="AK82" s="131">
        <v>2043</v>
      </c>
      <c r="AL82" s="131">
        <v>2044</v>
      </c>
      <c r="AM82" s="131">
        <v>2045</v>
      </c>
      <c r="AN82" s="131">
        <v>2046</v>
      </c>
      <c r="AO82" s="131">
        <v>2047</v>
      </c>
      <c r="AP82" s="131">
        <v>2048</v>
      </c>
      <c r="AQ82" s="131">
        <v>2049</v>
      </c>
      <c r="AR82" s="131">
        <v>2050</v>
      </c>
      <c r="AS82" s="131">
        <v>2051</v>
      </c>
      <c r="AT82" s="131">
        <v>2052</v>
      </c>
      <c r="AU82" s="131">
        <v>2053</v>
      </c>
      <c r="AV82" s="131">
        <v>2054</v>
      </c>
      <c r="AW82" s="131">
        <v>2055</v>
      </c>
      <c r="AX82" s="131">
        <v>2056</v>
      </c>
      <c r="AY82" s="131">
        <v>2057</v>
      </c>
      <c r="AZ82" s="131">
        <v>2058</v>
      </c>
      <c r="BA82" s="131">
        <v>2059</v>
      </c>
      <c r="BB82" s="131">
        <v>2060</v>
      </c>
      <c r="BC82" s="131">
        <v>2061</v>
      </c>
      <c r="BD82" s="131">
        <v>2062</v>
      </c>
      <c r="BE82" s="131">
        <v>2063</v>
      </c>
      <c r="BF82" s="131">
        <v>2064</v>
      </c>
      <c r="BG82" s="131">
        <v>2065</v>
      </c>
      <c r="BH82" s="131">
        <v>2066</v>
      </c>
      <c r="BI82" s="131">
        <v>2067</v>
      </c>
      <c r="BJ82" s="131">
        <v>2068</v>
      </c>
      <c r="BK82" s="131">
        <v>2069</v>
      </c>
      <c r="BL82" s="131">
        <v>2070</v>
      </c>
      <c r="BM82" s="131">
        <v>2071</v>
      </c>
    </row>
    <row r="83" spans="1:65" s="74" customFormat="1" ht="15.5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13"/>
      <c r="L83" s="13"/>
      <c r="M83" s="2"/>
      <c r="N83" s="2"/>
      <c r="O83" s="2">
        <v>60</v>
      </c>
      <c r="P83" s="78">
        <v>23.883753848920158</v>
      </c>
      <c r="Q83" s="78">
        <v>24.269226658733597</v>
      </c>
      <c r="R83" s="78">
        <v>24.339324090697488</v>
      </c>
      <c r="S83" s="78">
        <v>24.40805592158107</v>
      </c>
      <c r="T83" s="78">
        <v>24.476386554851832</v>
      </c>
      <c r="U83" s="78">
        <v>24.542123737614183</v>
      </c>
      <c r="V83" s="78">
        <v>24.609495905338946</v>
      </c>
      <c r="W83" s="78">
        <v>24.673833385543663</v>
      </c>
      <c r="X83" s="78">
        <v>24.739501214281315</v>
      </c>
      <c r="Y83" s="78">
        <v>24.800933277313966</v>
      </c>
      <c r="Z83" s="78">
        <v>24.864695604620948</v>
      </c>
      <c r="AA83" s="78">
        <v>24.925774621625191</v>
      </c>
      <c r="AB83" s="78">
        <v>24.985384230099029</v>
      </c>
      <c r="AC83" s="78">
        <v>25.043552639711208</v>
      </c>
      <c r="AD83" s="78">
        <v>25.102778458233903</v>
      </c>
      <c r="AE83" s="78">
        <v>25.154866235924683</v>
      </c>
      <c r="AF83" s="78">
        <v>25.205566061505884</v>
      </c>
      <c r="AG83" s="78">
        <v>25.263011792532065</v>
      </c>
      <c r="AH83" s="78">
        <v>25.324452659885981</v>
      </c>
      <c r="AI83" s="78">
        <v>25.362500349921277</v>
      </c>
      <c r="AJ83" s="78">
        <v>25.409558191276066</v>
      </c>
      <c r="AK83" s="78">
        <v>25.47625618205139</v>
      </c>
      <c r="AL83" s="78">
        <v>25.540524510971366</v>
      </c>
      <c r="AM83" s="78">
        <v>25.576177660680809</v>
      </c>
      <c r="AN83" s="78">
        <v>25.632973204395601</v>
      </c>
      <c r="AO83" s="78">
        <v>25.688674648361385</v>
      </c>
      <c r="AP83" s="78">
        <v>25.735409056250852</v>
      </c>
      <c r="AQ83" s="78">
        <v>25.775216845418107</v>
      </c>
      <c r="AR83" s="78">
        <v>25.812453580020133</v>
      </c>
      <c r="AS83" s="78">
        <v>25.862241015397551</v>
      </c>
      <c r="AT83" s="78">
        <v>25.907750975569847</v>
      </c>
      <c r="AU83" s="78">
        <v>25.938838605027684</v>
      </c>
      <c r="AV83" s="78">
        <v>25.974903979380951</v>
      </c>
      <c r="AW83" s="78">
        <v>26.019802799946707</v>
      </c>
      <c r="AX83" s="78">
        <v>26.062705070768821</v>
      </c>
      <c r="AY83" s="78">
        <v>26.099592218725448</v>
      </c>
      <c r="AZ83" s="78">
        <v>26.135894807838564</v>
      </c>
      <c r="BA83" s="78">
        <v>26.173972562781206</v>
      </c>
      <c r="BB83" s="78">
        <v>26.21200132274739</v>
      </c>
      <c r="BC83" s="78">
        <v>26.247991183046167</v>
      </c>
      <c r="BD83" s="78">
        <v>26.279271008948328</v>
      </c>
      <c r="BE83" s="78">
        <v>26.311234695761666</v>
      </c>
      <c r="BF83" s="78">
        <v>26.340455188267235</v>
      </c>
      <c r="BG83" s="78">
        <v>26.365310989293679</v>
      </c>
      <c r="BH83" s="78">
        <v>26.394573231746485</v>
      </c>
      <c r="BI83" s="78">
        <v>26.426337969359786</v>
      </c>
      <c r="BJ83" s="78">
        <v>26.452401885855767</v>
      </c>
      <c r="BK83" s="78">
        <v>26.473421966577416</v>
      </c>
      <c r="BL83" s="78">
        <v>26.498662945827256</v>
      </c>
      <c r="BM83" s="78">
        <v>26.522902927479223</v>
      </c>
    </row>
    <row r="84" spans="1:65" s="33" customFormat="1" ht="15.5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13"/>
      <c r="L84" s="13"/>
      <c r="M84" s="2"/>
      <c r="N84" s="2"/>
      <c r="O84" s="2">
        <v>61</v>
      </c>
      <c r="P84" s="78">
        <v>23.207320965255949</v>
      </c>
      <c r="Q84" s="78">
        <v>23.589935822063865</v>
      </c>
      <c r="R84" s="78">
        <v>23.659248600599554</v>
      </c>
      <c r="S84" s="78">
        <v>23.727253805094886</v>
      </c>
      <c r="T84" s="78">
        <v>23.794836544362589</v>
      </c>
      <c r="U84" s="78">
        <v>23.85983323978116</v>
      </c>
      <c r="V84" s="78">
        <v>23.926542222827344</v>
      </c>
      <c r="W84" s="78">
        <v>23.990185316120272</v>
      </c>
      <c r="X84" s="78">
        <v>24.055217520642081</v>
      </c>
      <c r="Y84" s="78">
        <v>24.115990041397787</v>
      </c>
      <c r="Z84" s="78">
        <v>24.179160064466078</v>
      </c>
      <c r="AA84" s="78">
        <v>24.239644704967557</v>
      </c>
      <c r="AB84" s="78">
        <v>24.298663874682163</v>
      </c>
      <c r="AC84" s="78">
        <v>24.356272521078811</v>
      </c>
      <c r="AD84" s="78">
        <v>24.414976394537074</v>
      </c>
      <c r="AE84" s="78">
        <v>24.466493557495767</v>
      </c>
      <c r="AF84" s="78">
        <v>24.516623302342008</v>
      </c>
      <c r="AG84" s="78">
        <v>24.573621395402991</v>
      </c>
      <c r="AH84" s="78">
        <v>24.634675578516205</v>
      </c>
      <c r="AI84" s="78">
        <v>24.672092353898744</v>
      </c>
      <c r="AJ84" s="78">
        <v>24.718622297183369</v>
      </c>
      <c r="AK84" s="78">
        <v>24.785054793582685</v>
      </c>
      <c r="AL84" s="78">
        <v>24.849045872031862</v>
      </c>
      <c r="AM84" s="78">
        <v>24.884116375115216</v>
      </c>
      <c r="AN84" s="78">
        <v>24.940601312063595</v>
      </c>
      <c r="AO84" s="78">
        <v>24.996002530578188</v>
      </c>
      <c r="AP84" s="78">
        <v>25.042355109812167</v>
      </c>
      <c r="AQ84" s="78">
        <v>25.081729185063374</v>
      </c>
      <c r="AR84" s="78">
        <v>25.118524780136724</v>
      </c>
      <c r="AS84" s="78">
        <v>25.168037039134685</v>
      </c>
      <c r="AT84" s="78">
        <v>25.213247712095065</v>
      </c>
      <c r="AU84" s="78">
        <v>25.243904283980161</v>
      </c>
      <c r="AV84" s="78">
        <v>25.279602449982274</v>
      </c>
      <c r="AW84" s="78">
        <v>25.324250161074275</v>
      </c>
      <c r="AX84" s="78">
        <v>25.366903253396544</v>
      </c>
      <c r="AY84" s="78">
        <v>25.403500780790665</v>
      </c>
      <c r="AZ84" s="78">
        <v>25.439522342245802</v>
      </c>
      <c r="BA84" s="78">
        <v>25.477350793813887</v>
      </c>
      <c r="BB84" s="78">
        <v>25.515161606263167</v>
      </c>
      <c r="BC84" s="78">
        <v>25.550926998421748</v>
      </c>
      <c r="BD84" s="78">
        <v>25.581941298327486</v>
      </c>
      <c r="BE84" s="78">
        <v>25.61366310534941</v>
      </c>
      <c r="BF84" s="78">
        <v>25.642637581011059</v>
      </c>
      <c r="BG84" s="78">
        <v>25.667208283013814</v>
      </c>
      <c r="BH84" s="78">
        <v>25.69625283292887</v>
      </c>
      <c r="BI84" s="78">
        <v>25.727841487014572</v>
      </c>
      <c r="BJ84" s="78">
        <v>25.753687915433222</v>
      </c>
      <c r="BK84" s="78">
        <v>25.77445648596392</v>
      </c>
      <c r="BL84" s="78">
        <v>25.799485130149584</v>
      </c>
      <c r="BM84" s="78">
        <v>25.82352600302152</v>
      </c>
    </row>
    <row r="85" spans="1:65" s="33" customFormat="1" ht="15.5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13"/>
      <c r="L85" s="13"/>
      <c r="M85" s="2"/>
      <c r="N85" s="2"/>
      <c r="O85" s="2">
        <v>62</v>
      </c>
      <c r="P85" s="78">
        <v>22.529866384331019</v>
      </c>
      <c r="Q85" s="78">
        <v>22.908261085041723</v>
      </c>
      <c r="R85" s="78">
        <v>22.976705251667354</v>
      </c>
      <c r="S85" s="78">
        <v>23.043906781406438</v>
      </c>
      <c r="T85" s="78">
        <v>23.110704059438831</v>
      </c>
      <c r="U85" s="78">
        <v>23.174878132835961</v>
      </c>
      <c r="V85" s="78">
        <v>23.240851031628374</v>
      </c>
      <c r="W85" s="78">
        <v>23.303749590450078</v>
      </c>
      <c r="X85" s="78">
        <v>23.368074225569668</v>
      </c>
      <c r="Y85" s="78">
        <v>23.428123985026712</v>
      </c>
      <c r="Z85" s="78">
        <v>23.490634296749782</v>
      </c>
      <c r="AA85" s="78">
        <v>23.550467487029074</v>
      </c>
      <c r="AB85" s="78">
        <v>23.608838607681832</v>
      </c>
      <c r="AC85" s="78">
        <v>23.665817320550122</v>
      </c>
      <c r="AD85" s="78">
        <v>23.72394787874136</v>
      </c>
      <c r="AE85" s="78">
        <v>23.774837053940285</v>
      </c>
      <c r="AF85" s="78">
        <v>23.82435223117384</v>
      </c>
      <c r="AG85" s="78">
        <v>23.88084671634088</v>
      </c>
      <c r="AH85" s="78">
        <v>23.941480423859158</v>
      </c>
      <c r="AI85" s="78">
        <v>23.978204501968218</v>
      </c>
      <c r="AJ85" s="78">
        <v>24.024161892411396</v>
      </c>
      <c r="AK85" s="78">
        <v>24.09028552563548</v>
      </c>
      <c r="AL85" s="78">
        <v>24.15396104118928</v>
      </c>
      <c r="AM85" s="78">
        <v>24.188387417168585</v>
      </c>
      <c r="AN85" s="78">
        <v>24.24452236219221</v>
      </c>
      <c r="AO85" s="78">
        <v>24.299581197002937</v>
      </c>
      <c r="AP85" s="78">
        <v>24.34550635724796</v>
      </c>
      <c r="AQ85" s="78">
        <v>24.38439637166708</v>
      </c>
      <c r="AR85" s="78">
        <v>24.420709211939208</v>
      </c>
      <c r="AS85" s="78">
        <v>24.46991160791055</v>
      </c>
      <c r="AT85" s="78">
        <v>24.514778864480768</v>
      </c>
      <c r="AU85" s="78">
        <v>24.544952224418623</v>
      </c>
      <c r="AV85" s="78">
        <v>24.580267250253911</v>
      </c>
      <c r="AW85" s="78">
        <v>24.624634523196395</v>
      </c>
      <c r="AX85" s="78">
        <v>24.66699523510739</v>
      </c>
      <c r="AY85" s="78">
        <v>24.703258304978323</v>
      </c>
      <c r="AZ85" s="78">
        <v>24.738972815575309</v>
      </c>
      <c r="BA85" s="78">
        <v>24.776527680549652</v>
      </c>
      <c r="BB85" s="78">
        <v>24.814072663713915</v>
      </c>
      <c r="BC85" s="78">
        <v>24.849588843021532</v>
      </c>
      <c r="BD85" s="78">
        <v>24.880315689410487</v>
      </c>
      <c r="BE85" s="78">
        <v>24.911767788461546</v>
      </c>
      <c r="BF85" s="78">
        <v>24.940456134084236</v>
      </c>
      <c r="BG85" s="78">
        <v>24.964724440495655</v>
      </c>
      <c r="BH85" s="78">
        <v>24.993523720816455</v>
      </c>
      <c r="BI85" s="78">
        <v>25.024914958179735</v>
      </c>
      <c r="BJ85" s="78">
        <v>25.050512046006308</v>
      </c>
      <c r="BK85" s="78">
        <v>25.070999446638371</v>
      </c>
      <c r="BL85" s="78">
        <v>25.095825825486074</v>
      </c>
      <c r="BM85" s="78">
        <v>25.119628997277069</v>
      </c>
    </row>
    <row r="86" spans="1:65" s="33" customFormat="1" ht="15.5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13"/>
      <c r="L86" s="13"/>
      <c r="M86" s="2"/>
      <c r="N86" s="2"/>
      <c r="O86" s="2">
        <v>63</v>
      </c>
      <c r="P86" s="78">
        <v>21.849879714659341</v>
      </c>
      <c r="Q86" s="78">
        <v>22.223282976863192</v>
      </c>
      <c r="R86" s="78">
        <v>22.290757658789985</v>
      </c>
      <c r="S86" s="78">
        <v>22.357012956403572</v>
      </c>
      <c r="T86" s="78">
        <v>22.422936127369127</v>
      </c>
      <c r="U86" s="78">
        <v>22.486235351915148</v>
      </c>
      <c r="V86" s="78">
        <v>22.551367923590359</v>
      </c>
      <c r="W86" s="78">
        <v>22.613450969815378</v>
      </c>
      <c r="X86" s="78">
        <v>22.677010137558209</v>
      </c>
      <c r="Y86" s="78">
        <v>22.736268516835501</v>
      </c>
      <c r="Z86" s="78">
        <v>22.798059479535112</v>
      </c>
      <c r="AA86" s="78">
        <v>22.857175435145326</v>
      </c>
      <c r="AB86" s="78">
        <v>22.914854998882547</v>
      </c>
      <c r="AC86" s="78">
        <v>22.971145819535916</v>
      </c>
      <c r="AD86" s="78">
        <v>23.02864933207956</v>
      </c>
      <c r="AE86" s="78">
        <v>23.078855209347843</v>
      </c>
      <c r="AF86" s="78">
        <v>23.127714857135423</v>
      </c>
      <c r="AG86" s="78">
        <v>23.183662544422813</v>
      </c>
      <c r="AH86" s="78">
        <v>23.243841169113047</v>
      </c>
      <c r="AI86" s="78">
        <v>23.279835140064993</v>
      </c>
      <c r="AJ86" s="78">
        <v>23.325180612702724</v>
      </c>
      <c r="AK86" s="78">
        <v>23.390968077441851</v>
      </c>
      <c r="AL86" s="78">
        <v>23.454306390642749</v>
      </c>
      <c r="AM86" s="78">
        <v>23.488055384178299</v>
      </c>
      <c r="AN86" s="78">
        <v>23.543808974720026</v>
      </c>
      <c r="AO86" s="78">
        <v>23.59850295214968</v>
      </c>
      <c r="AP86" s="78">
        <v>23.643977002872457</v>
      </c>
      <c r="AQ86" s="78">
        <v>23.682353443984095</v>
      </c>
      <c r="AR86" s="78">
        <v>23.718153329314735</v>
      </c>
      <c r="AS86" s="78">
        <v>23.767024975867898</v>
      </c>
      <c r="AT86" s="78">
        <v>23.811533785003743</v>
      </c>
      <c r="AU86" s="78">
        <v>23.841188006055571</v>
      </c>
      <c r="AV86" s="78">
        <v>23.876090344320549</v>
      </c>
      <c r="AW86" s="78">
        <v>23.920176598444367</v>
      </c>
      <c r="AX86" s="78">
        <v>23.962233184260601</v>
      </c>
      <c r="AY86" s="78">
        <v>23.998136982993444</v>
      </c>
      <c r="AZ86" s="78">
        <v>24.033516490079137</v>
      </c>
      <c r="BA86" s="78">
        <v>24.070792028103309</v>
      </c>
      <c r="BB86" s="78">
        <v>24.108057944503294</v>
      </c>
      <c r="BC86" s="78">
        <v>24.143297319870229</v>
      </c>
      <c r="BD86" s="78">
        <v>24.173722600109432</v>
      </c>
      <c r="BE86" s="78">
        <v>24.204899604653932</v>
      </c>
      <c r="BF86" s="78">
        <v>24.233284160577398</v>
      </c>
      <c r="BG86" s="78">
        <v>24.257227430321578</v>
      </c>
      <c r="BH86" s="78">
        <v>24.285775583923087</v>
      </c>
      <c r="BI86" s="78">
        <v>24.316955199742974</v>
      </c>
      <c r="BJ86" s="78">
        <v>24.342295353136212</v>
      </c>
      <c r="BK86" s="78">
        <v>24.362473692680339</v>
      </c>
      <c r="BL86" s="78">
        <v>24.387087363868101</v>
      </c>
      <c r="BM86" s="78">
        <v>24.410664813099533</v>
      </c>
    </row>
    <row r="87" spans="1:65" s="33" customFormat="1" ht="15.5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13"/>
      <c r="L87" s="13"/>
      <c r="M87" s="2"/>
      <c r="N87" s="2"/>
      <c r="O87" s="2">
        <v>64</v>
      </c>
      <c r="P87" s="78">
        <v>21.167811131394419</v>
      </c>
      <c r="Q87" s="78">
        <v>21.535762512625276</v>
      </c>
      <c r="R87" s="78">
        <v>21.602303476616711</v>
      </c>
      <c r="S87" s="78">
        <v>21.667652170249255</v>
      </c>
      <c r="T87" s="78">
        <v>21.732695182177714</v>
      </c>
      <c r="U87" s="78">
        <v>21.79514565216763</v>
      </c>
      <c r="V87" s="78">
        <v>21.859473009119665</v>
      </c>
      <c r="W87" s="78">
        <v>21.920738147171779</v>
      </c>
      <c r="X87" s="78">
        <v>21.983553891542019</v>
      </c>
      <c r="Y87" s="78">
        <v>22.042037094493207</v>
      </c>
      <c r="Z87" s="78">
        <v>22.103120779624927</v>
      </c>
      <c r="AA87" s="78">
        <v>22.161530083345145</v>
      </c>
      <c r="AB87" s="78">
        <v>22.21851876508827</v>
      </c>
      <c r="AC87" s="78">
        <v>22.274140032099567</v>
      </c>
      <c r="AD87" s="78">
        <v>22.331014534545837</v>
      </c>
      <c r="AE87" s="78">
        <v>22.380536963620568</v>
      </c>
      <c r="AF87" s="78">
        <v>22.428730663054893</v>
      </c>
      <c r="AG87" s="78">
        <v>22.484141529857187</v>
      </c>
      <c r="AH87" s="78">
        <v>22.543862948007735</v>
      </c>
      <c r="AI87" s="78">
        <v>22.579126245604584</v>
      </c>
      <c r="AJ87" s="78">
        <v>22.623859477906137</v>
      </c>
      <c r="AK87" s="78">
        <v>22.689317412479443</v>
      </c>
      <c r="AL87" s="78">
        <v>22.752324586769863</v>
      </c>
      <c r="AM87" s="78">
        <v>22.78539918993096</v>
      </c>
      <c r="AN87" s="78">
        <v>22.840775476623843</v>
      </c>
      <c r="AO87" s="78">
        <v>22.895103548860892</v>
      </c>
      <c r="AP87" s="78">
        <v>22.940128890392341</v>
      </c>
      <c r="AQ87" s="78">
        <v>22.977992669611702</v>
      </c>
      <c r="AR87" s="78">
        <v>23.013271911402374</v>
      </c>
      <c r="AS87" s="78">
        <v>23.061809563662585</v>
      </c>
      <c r="AT87" s="78">
        <v>23.105959375029606</v>
      </c>
      <c r="AU87" s="78">
        <v>23.135097405723901</v>
      </c>
      <c r="AV87" s="78">
        <v>23.169565199551414</v>
      </c>
      <c r="AW87" s="78">
        <v>23.213360200216876</v>
      </c>
      <c r="AX87" s="78">
        <v>23.25513429622039</v>
      </c>
      <c r="AY87" s="78">
        <v>23.290684116441646</v>
      </c>
      <c r="AZ87" s="78">
        <v>23.325717100139492</v>
      </c>
      <c r="BA87" s="78">
        <v>23.362695988706427</v>
      </c>
      <c r="BB87" s="78">
        <v>23.399696988191007</v>
      </c>
      <c r="BC87" s="78">
        <v>23.434658024994636</v>
      </c>
      <c r="BD87" s="78">
        <v>23.464760375186259</v>
      </c>
      <c r="BE87" s="78">
        <v>23.495659320194726</v>
      </c>
      <c r="BF87" s="78">
        <v>23.523749731416807</v>
      </c>
      <c r="BG87" s="78">
        <v>23.54735558884606</v>
      </c>
      <c r="BH87" s="78">
        <v>23.575638018725996</v>
      </c>
      <c r="BI87" s="78">
        <v>23.606613036738427</v>
      </c>
      <c r="BJ87" s="78">
        <v>23.631687321113336</v>
      </c>
      <c r="BK87" s="78">
        <v>23.651558780426146</v>
      </c>
      <c r="BL87" s="78">
        <v>23.675929108975055</v>
      </c>
      <c r="BM87" s="78">
        <v>23.69928022501232</v>
      </c>
    </row>
    <row r="88" spans="1:65" s="33" customFormat="1" ht="15.5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13"/>
      <c r="L88" s="13"/>
      <c r="M88" s="2"/>
      <c r="N88" s="2"/>
      <c r="O88" s="2">
        <v>65</v>
      </c>
      <c r="P88" s="78">
        <v>20.482365945176831</v>
      </c>
      <c r="Q88" s="78">
        <v>20.843581652272633</v>
      </c>
      <c r="R88" s="78">
        <v>20.909277380518017</v>
      </c>
      <c r="S88" s="78">
        <v>20.973810404336067</v>
      </c>
      <c r="T88" s="78">
        <v>21.038054874225882</v>
      </c>
      <c r="U88" s="78">
        <v>21.099705998783129</v>
      </c>
      <c r="V88" s="78">
        <v>21.163301853982261</v>
      </c>
      <c r="W88" s="78">
        <v>21.223843503010976</v>
      </c>
      <c r="X88" s="78">
        <v>21.285968439644449</v>
      </c>
      <c r="Y88" s="78">
        <v>21.343742918925606</v>
      </c>
      <c r="Z88" s="78">
        <v>21.404193768217507</v>
      </c>
      <c r="AA88" s="78">
        <v>21.461955478809479</v>
      </c>
      <c r="AB88" s="78">
        <v>21.518314502869895</v>
      </c>
      <c r="AC88" s="78">
        <v>21.573318471474046</v>
      </c>
      <c r="AD88" s="78">
        <v>21.629628699440001</v>
      </c>
      <c r="AE88" s="78">
        <v>21.678517626704014</v>
      </c>
      <c r="AF88" s="78">
        <v>21.726090639741244</v>
      </c>
      <c r="AG88" s="78">
        <v>21.781014101391875</v>
      </c>
      <c r="AH88" s="78">
        <v>21.840334625579928</v>
      </c>
      <c r="AI88" s="78">
        <v>21.87491109705099</v>
      </c>
      <c r="AJ88" s="78">
        <v>21.919078418335534</v>
      </c>
      <c r="AK88" s="78">
        <v>21.984267082856931</v>
      </c>
      <c r="AL88" s="78">
        <v>22.046991515089093</v>
      </c>
      <c r="AM88" s="78">
        <v>22.079433535655468</v>
      </c>
      <c r="AN88" s="78">
        <v>22.134483487498713</v>
      </c>
      <c r="AO88" s="78">
        <v>22.1884934524765</v>
      </c>
      <c r="AP88" s="78">
        <v>22.233104836666563</v>
      </c>
      <c r="AQ88" s="78">
        <v>22.270496046768073</v>
      </c>
      <c r="AR88" s="78">
        <v>22.305291908028195</v>
      </c>
      <c r="AS88" s="78">
        <v>22.353532886202018</v>
      </c>
      <c r="AT88" s="78">
        <v>22.397356301657116</v>
      </c>
      <c r="AU88" s="78">
        <v>22.426009593735404</v>
      </c>
      <c r="AV88" s="78">
        <v>22.460080543922675</v>
      </c>
      <c r="AW88" s="78">
        <v>22.503608519650655</v>
      </c>
      <c r="AX88" s="78">
        <v>22.545124133131999</v>
      </c>
      <c r="AY88" s="78">
        <v>22.58037077681163</v>
      </c>
      <c r="AZ88" s="78">
        <v>22.615092991371867</v>
      </c>
      <c r="BA88" s="78">
        <v>22.651796770907449</v>
      </c>
      <c r="BB88" s="78">
        <v>22.688550146898162</v>
      </c>
      <c r="BC88" s="78">
        <v>22.723271235492781</v>
      </c>
      <c r="BD88" s="78">
        <v>22.753079995965322</v>
      </c>
      <c r="BE88" s="78">
        <v>22.78370982705124</v>
      </c>
      <c r="BF88" s="78">
        <v>22.811532232185684</v>
      </c>
      <c r="BG88" s="78">
        <v>22.83483228614157</v>
      </c>
      <c r="BH88" s="78">
        <v>22.862869185651991</v>
      </c>
      <c r="BI88" s="78">
        <v>22.893652110706419</v>
      </c>
      <c r="BJ88" s="78">
        <v>22.918491023148302</v>
      </c>
      <c r="BK88" s="78">
        <v>22.938071093203966</v>
      </c>
      <c r="BL88" s="78">
        <v>22.962223043700554</v>
      </c>
      <c r="BM88" s="78">
        <v>22.985350905568005</v>
      </c>
    </row>
    <row r="89" spans="1:65" s="33" customFormat="1" ht="15.5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13"/>
      <c r="L89" s="13"/>
      <c r="M89" s="2"/>
      <c r="N89" s="2"/>
      <c r="O89" s="2">
        <v>66</v>
      </c>
      <c r="P89" s="78">
        <v>19.79409005524996</v>
      </c>
      <c r="Q89" s="78">
        <v>20.147431765066269</v>
      </c>
      <c r="R89" s="78">
        <v>20.21235365755032</v>
      </c>
      <c r="S89" s="78">
        <v>20.276139469347189</v>
      </c>
      <c r="T89" s="78">
        <v>20.339657107958402</v>
      </c>
      <c r="U89" s="78">
        <v>20.400581172535073</v>
      </c>
      <c r="V89" s="78">
        <v>20.463505533252583</v>
      </c>
      <c r="W89" s="78">
        <v>20.523390355957513</v>
      </c>
      <c r="X89" s="78">
        <v>20.584898532422102</v>
      </c>
      <c r="Y89" s="78">
        <v>20.642021504879782</v>
      </c>
      <c r="Z89" s="78">
        <v>20.701906115437975</v>
      </c>
      <c r="AA89" s="78">
        <v>20.759086098983882</v>
      </c>
      <c r="AB89" s="78">
        <v>20.814876109618311</v>
      </c>
      <c r="AC89" s="78">
        <v>20.869323989271848</v>
      </c>
      <c r="AD89" s="78">
        <v>20.925126612406157</v>
      </c>
      <c r="AE89" s="78">
        <v>20.973443101567049</v>
      </c>
      <c r="AF89" s="78">
        <v>21.0204471870742</v>
      </c>
      <c r="AG89" s="78">
        <v>21.074938475270329</v>
      </c>
      <c r="AH89" s="78">
        <v>21.13391146124733</v>
      </c>
      <c r="AI89" s="78">
        <v>21.167850549327717</v>
      </c>
      <c r="AJ89" s="78">
        <v>21.211499990130122</v>
      </c>
      <c r="AK89" s="78">
        <v>21.27648103467801</v>
      </c>
      <c r="AL89" s="78">
        <v>21.338982503241446</v>
      </c>
      <c r="AM89" s="78">
        <v>21.370834856794747</v>
      </c>
      <c r="AN89" s="78">
        <v>21.425612138575968</v>
      </c>
      <c r="AO89" s="78">
        <v>21.479361755112688</v>
      </c>
      <c r="AP89" s="78">
        <v>21.523607322505452</v>
      </c>
      <c r="AQ89" s="78">
        <v>21.560567343771471</v>
      </c>
      <c r="AR89" s="78">
        <v>21.59492403830005</v>
      </c>
      <c r="AS89" s="78">
        <v>21.642919148493984</v>
      </c>
      <c r="AT89" s="78">
        <v>21.686459192431865</v>
      </c>
      <c r="AU89" s="78">
        <v>21.714662828725643</v>
      </c>
      <c r="AV89" s="78">
        <v>21.748376510005755</v>
      </c>
      <c r="AW89" s="78">
        <v>21.79168752176902</v>
      </c>
      <c r="AX89" s="78">
        <v>21.8329730749163</v>
      </c>
      <c r="AY89" s="78">
        <v>21.867948241996633</v>
      </c>
      <c r="AZ89" s="78">
        <v>21.902412976929011</v>
      </c>
      <c r="BA89" s="78">
        <v>21.938886027719292</v>
      </c>
      <c r="BB89" s="78">
        <v>21.975423535915755</v>
      </c>
      <c r="BC89" s="78">
        <v>22.009929204054437</v>
      </c>
      <c r="BD89" s="78">
        <v>22.039490684615867</v>
      </c>
      <c r="BE89" s="78">
        <v>22.069884066201269</v>
      </c>
      <c r="BF89" s="78">
        <v>22.097457810029031</v>
      </c>
      <c r="BG89" s="78">
        <v>22.120479972136913</v>
      </c>
      <c r="BH89" s="78">
        <v>22.148313149182513</v>
      </c>
      <c r="BI89" s="78">
        <v>22.178928359909275</v>
      </c>
      <c r="BJ89" s="78">
        <v>22.203552526747515</v>
      </c>
      <c r="BK89" s="78">
        <v>22.222872492872835</v>
      </c>
      <c r="BL89" s="78">
        <v>22.246828457064957</v>
      </c>
      <c r="BM89" s="78">
        <v>22.26976635400009</v>
      </c>
    </row>
    <row r="90" spans="1:65" s="33" customFormat="1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13"/>
      <c r="L90" s="13"/>
      <c r="M90" s="2"/>
      <c r="N90" s="2"/>
      <c r="O90" s="2">
        <v>67</v>
      </c>
      <c r="P90" s="78">
        <v>19.105836775966328</v>
      </c>
      <c r="Q90" s="78">
        <v>19.451013200266821</v>
      </c>
      <c r="R90" s="78">
        <v>19.515254062624699</v>
      </c>
      <c r="S90" s="78">
        <v>19.578365827678514</v>
      </c>
      <c r="T90" s="78">
        <v>19.64123366176797</v>
      </c>
      <c r="U90" s="78">
        <v>19.701507799957071</v>
      </c>
      <c r="V90" s="78">
        <v>19.763827217180168</v>
      </c>
      <c r="W90" s="78">
        <v>19.823092091285563</v>
      </c>
      <c r="X90" s="78">
        <v>19.884037363802953</v>
      </c>
      <c r="Y90" s="78">
        <v>19.940588576084895</v>
      </c>
      <c r="Z90" s="78">
        <v>19.999940579141729</v>
      </c>
      <c r="AA90" s="78">
        <v>20.056582438924927</v>
      </c>
      <c r="AB90" s="78">
        <v>20.11186109794496</v>
      </c>
      <c r="AC90" s="78">
        <v>20.165787416864639</v>
      </c>
      <c r="AD90" s="78">
        <v>20.22112355736202</v>
      </c>
      <c r="AE90" s="78">
        <v>20.268894015239905</v>
      </c>
      <c r="AF90" s="78">
        <v>20.315367666344336</v>
      </c>
      <c r="AG90" s="78">
        <v>20.369461283899906</v>
      </c>
      <c r="AH90" s="78">
        <v>20.428113048027853</v>
      </c>
      <c r="AI90" s="78">
        <v>20.461435391936419</v>
      </c>
      <c r="AJ90" s="78">
        <v>20.504593774684913</v>
      </c>
      <c r="AK90" s="78">
        <v>20.569413582389188</v>
      </c>
      <c r="AL90" s="78">
        <v>20.631725501359838</v>
      </c>
      <c r="AM90" s="78">
        <v>20.663018431561039</v>
      </c>
      <c r="AN90" s="78">
        <v>20.717546556000148</v>
      </c>
      <c r="AO90" s="78">
        <v>20.771071896753959</v>
      </c>
      <c r="AP90" s="78">
        <v>20.814977691004533</v>
      </c>
      <c r="AQ90" s="78">
        <v>20.851529062730432</v>
      </c>
      <c r="AR90" s="78">
        <v>20.885450793537185</v>
      </c>
      <c r="AS90" s="78">
        <v>20.933228447591421</v>
      </c>
      <c r="AT90" s="78">
        <v>20.976507259041565</v>
      </c>
      <c r="AU90" s="78">
        <v>21.004268649296126</v>
      </c>
      <c r="AV90" s="78">
        <v>21.037631312050035</v>
      </c>
      <c r="AW90" s="78">
        <v>21.080747225046284</v>
      </c>
      <c r="AX90" s="78">
        <v>21.121828524623865</v>
      </c>
      <c r="AY90" s="78">
        <v>21.15653357855637</v>
      </c>
      <c r="AZ90" s="78">
        <v>21.190739559018979</v>
      </c>
      <c r="BA90" s="78">
        <v>21.227030228793115</v>
      </c>
      <c r="BB90" s="78">
        <v>21.263376184219098</v>
      </c>
      <c r="BC90" s="78">
        <v>21.297666878208638</v>
      </c>
      <c r="BD90" s="78">
        <v>21.326974242314211</v>
      </c>
      <c r="BE90" s="78">
        <v>21.357157655067532</v>
      </c>
      <c r="BF90" s="78">
        <v>21.384501101328681</v>
      </c>
      <c r="BG90" s="78">
        <v>21.407225842678905</v>
      </c>
      <c r="BH90" s="78">
        <v>21.43487127429005</v>
      </c>
      <c r="BI90" s="78">
        <v>21.465346247053049</v>
      </c>
      <c r="BJ90" s="78">
        <v>21.489762131268122</v>
      </c>
      <c r="BK90" s="78">
        <v>21.508809305962274</v>
      </c>
      <c r="BL90" s="78">
        <v>21.532594789768911</v>
      </c>
      <c r="BM90" s="78">
        <v>21.555346951542802</v>
      </c>
    </row>
    <row r="91" spans="1:65" s="33" customFormat="1" ht="15.5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13"/>
      <c r="L91" s="13"/>
      <c r="M91" s="2"/>
      <c r="N91" s="2"/>
      <c r="O91" s="2">
        <v>68</v>
      </c>
      <c r="P91" s="78">
        <v>18.415127402860087</v>
      </c>
      <c r="Q91" s="78">
        <v>18.752183523994081</v>
      </c>
      <c r="R91" s="78">
        <v>18.815711445736962</v>
      </c>
      <c r="S91" s="78">
        <v>18.878151162499829</v>
      </c>
      <c r="T91" s="78">
        <v>18.940364438997783</v>
      </c>
      <c r="U91" s="78">
        <v>18.999986026069198</v>
      </c>
      <c r="V91" s="78">
        <v>19.061719455080059</v>
      </c>
      <c r="W91" s="78">
        <v>19.120369272864274</v>
      </c>
      <c r="X91" s="78">
        <v>19.180755953081853</v>
      </c>
      <c r="Y91" s="78">
        <v>19.236743552246864</v>
      </c>
      <c r="Z91" s="78">
        <v>19.295612097246426</v>
      </c>
      <c r="AA91" s="78">
        <v>19.351725780993714</v>
      </c>
      <c r="AB91" s="78">
        <v>19.406509202679558</v>
      </c>
      <c r="AC91" s="78">
        <v>19.459953285538568</v>
      </c>
      <c r="AD91" s="78">
        <v>19.514841806660804</v>
      </c>
      <c r="AE91" s="78">
        <v>19.562091080304349</v>
      </c>
      <c r="AF91" s="78">
        <v>19.608053372401603</v>
      </c>
      <c r="AG91" s="78">
        <v>19.661781971689539</v>
      </c>
      <c r="AH91" s="78">
        <v>19.720148694833838</v>
      </c>
      <c r="AI91" s="78">
        <v>19.752862871348501</v>
      </c>
      <c r="AJ91" s="78">
        <v>19.795562903367415</v>
      </c>
      <c r="AK91" s="78">
        <v>19.860260940720689</v>
      </c>
      <c r="AL91" s="78">
        <v>19.922434784797193</v>
      </c>
      <c r="AM91" s="78">
        <v>19.953185890528552</v>
      </c>
      <c r="AN91" s="78">
        <v>20.007516417083536</v>
      </c>
      <c r="AO91" s="78">
        <v>20.060845552819284</v>
      </c>
      <c r="AP91" s="78">
        <v>20.104449878009081</v>
      </c>
      <c r="AQ91" s="78">
        <v>20.140619342601347</v>
      </c>
      <c r="AR91" s="78">
        <v>20.17413653157146</v>
      </c>
      <c r="AS91" s="78">
        <v>20.221718321827876</v>
      </c>
      <c r="AT91" s="78">
        <v>20.264769847990255</v>
      </c>
      <c r="AU91" s="78">
        <v>20.292110569727058</v>
      </c>
      <c r="AV91" s="78">
        <v>20.325144402276187</v>
      </c>
      <c r="AW91" s="78">
        <v>20.368087841625055</v>
      </c>
      <c r="AX91" s="78">
        <v>20.408995485773037</v>
      </c>
      <c r="AY91" s="78">
        <v>20.443459697725395</v>
      </c>
      <c r="AZ91" s="78">
        <v>20.477424046435434</v>
      </c>
      <c r="BA91" s="78">
        <v>20.513544446583776</v>
      </c>
      <c r="BB91" s="78">
        <v>20.549752149182332</v>
      </c>
      <c r="BC91" s="78">
        <v>20.583858811906655</v>
      </c>
      <c r="BD91" s="78">
        <v>20.612921587778956</v>
      </c>
      <c r="BE91" s="78">
        <v>20.642902767948712</v>
      </c>
      <c r="BF91" s="78">
        <v>20.670045641853655</v>
      </c>
      <c r="BG91" s="78">
        <v>20.692499859824768</v>
      </c>
      <c r="BH91" s="78">
        <v>20.719954131396232</v>
      </c>
      <c r="BI91" s="78">
        <v>20.750316072355822</v>
      </c>
      <c r="BJ91" s="78">
        <v>20.774552702307194</v>
      </c>
      <c r="BK91" s="78">
        <v>20.793342774065923</v>
      </c>
      <c r="BL91" s="78">
        <v>20.816958531313727</v>
      </c>
      <c r="BM91" s="78">
        <v>20.839556801910312</v>
      </c>
    </row>
    <row r="92" spans="1:65" s="33" customFormat="1" ht="15.5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13"/>
      <c r="L92" s="13"/>
      <c r="M92" s="2"/>
      <c r="N92" s="2"/>
      <c r="O92" s="2">
        <v>69</v>
      </c>
      <c r="P92" s="78">
        <v>17.720570622220531</v>
      </c>
      <c r="Q92" s="78">
        <v>18.049295479555788</v>
      </c>
      <c r="R92" s="78">
        <v>18.112210164198423</v>
      </c>
      <c r="S92" s="78">
        <v>18.174091407776878</v>
      </c>
      <c r="T92" s="78">
        <v>18.235750379440098</v>
      </c>
      <c r="U92" s="78">
        <v>18.294817477658093</v>
      </c>
      <c r="V92" s="78">
        <v>18.356075248147221</v>
      </c>
      <c r="W92" s="78">
        <v>18.414210483729626</v>
      </c>
      <c r="X92" s="78">
        <v>18.474155073724411</v>
      </c>
      <c r="Y92" s="78">
        <v>18.529655158706859</v>
      </c>
      <c r="Z92" s="78">
        <v>18.588148031356166</v>
      </c>
      <c r="AA92" s="78">
        <v>18.643830335989712</v>
      </c>
      <c r="AB92" s="78">
        <v>18.698200299831459</v>
      </c>
      <c r="AC92" s="78">
        <v>18.751265430592571</v>
      </c>
      <c r="AD92" s="78">
        <v>18.805794539015803</v>
      </c>
      <c r="AE92" s="78">
        <v>18.85261345936177</v>
      </c>
      <c r="AF92" s="78">
        <v>18.898149619826064</v>
      </c>
      <c r="AG92" s="78">
        <v>18.951595239440575</v>
      </c>
      <c r="AH92" s="78">
        <v>19.009777708538611</v>
      </c>
      <c r="AI92" s="78">
        <v>19.041944780381531</v>
      </c>
      <c r="AJ92" s="78">
        <v>19.08426861064137</v>
      </c>
      <c r="AK92" s="78">
        <v>19.148915663640377</v>
      </c>
      <c r="AL92" s="78">
        <v>19.211046199307233</v>
      </c>
      <c r="AM92" s="78">
        <v>19.24130404266252</v>
      </c>
      <c r="AN92" s="78">
        <v>19.295525389672548</v>
      </c>
      <c r="AO92" s="78">
        <v>19.348727430871982</v>
      </c>
      <c r="AP92" s="78">
        <v>19.392105422651621</v>
      </c>
      <c r="AQ92" s="78">
        <v>19.42795319288048</v>
      </c>
      <c r="AR92" s="78">
        <v>19.461142398017358</v>
      </c>
      <c r="AS92" s="78">
        <v>19.508596497565414</v>
      </c>
      <c r="AT92" s="78">
        <v>19.551490831055254</v>
      </c>
      <c r="AU92" s="78">
        <v>19.578470343676134</v>
      </c>
      <c r="AV92" s="78">
        <v>19.61124284480044</v>
      </c>
      <c r="AW92" s="78">
        <v>19.654075684634535</v>
      </c>
      <c r="AX92" s="78">
        <v>19.694871517799012</v>
      </c>
      <c r="AY92" s="78">
        <v>19.729151314305078</v>
      </c>
      <c r="AZ92" s="78">
        <v>19.762943298722085</v>
      </c>
      <c r="BA92" s="78">
        <v>19.798925248815454</v>
      </c>
      <c r="BB92" s="78">
        <v>19.835045339663985</v>
      </c>
      <c r="BC92" s="78">
        <v>19.869037439777177</v>
      </c>
      <c r="BD92" s="78">
        <v>19.897915527449129</v>
      </c>
      <c r="BE92" s="78">
        <v>19.927739935686869</v>
      </c>
      <c r="BF92" s="78">
        <v>19.954713635968972</v>
      </c>
      <c r="BG92" s="78">
        <v>19.976962907926801</v>
      </c>
      <c r="BH92" s="78">
        <v>20.004264025400229</v>
      </c>
      <c r="BI92" s="78">
        <v>20.034549029432764</v>
      </c>
      <c r="BJ92" s="78">
        <v>20.058641862426629</v>
      </c>
      <c r="BK92" s="78">
        <v>20.077229717168194</v>
      </c>
      <c r="BL92" s="78">
        <v>20.100700209227494</v>
      </c>
      <c r="BM92" s="78">
        <v>20.123177979916292</v>
      </c>
    </row>
    <row r="93" spans="1:65" s="33" customFormat="1" ht="15.5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>
        <v>70</v>
      </c>
      <c r="P93" s="78">
        <v>17.024576054787072</v>
      </c>
      <c r="Q93" s="78">
        <v>17.344900862149622</v>
      </c>
      <c r="R93" s="78">
        <v>17.407355568583448</v>
      </c>
      <c r="S93" s="78">
        <v>17.468808101257704</v>
      </c>
      <c r="T93" s="78">
        <v>17.530044465790905</v>
      </c>
      <c r="U93" s="78">
        <v>17.588694939035733</v>
      </c>
      <c r="V93" s="78">
        <v>17.649594115438013</v>
      </c>
      <c r="W93" s="78">
        <v>17.707342639026631</v>
      </c>
      <c r="X93" s="78">
        <v>17.766969008396995</v>
      </c>
      <c r="Y93" s="78">
        <v>17.822102895256236</v>
      </c>
      <c r="Z93" s="78">
        <v>17.880302830612838</v>
      </c>
      <c r="AA93" s="78">
        <v>17.935666555324559</v>
      </c>
      <c r="AB93" s="78">
        <v>17.989735301151946</v>
      </c>
      <c r="AC93" s="78">
        <v>18.042503602148795</v>
      </c>
      <c r="AD93" s="78">
        <v>18.096779537112752</v>
      </c>
      <c r="AE93" s="78">
        <v>18.143256078806036</v>
      </c>
      <c r="AF93" s="78">
        <v>18.188454715412455</v>
      </c>
      <c r="AG93" s="78">
        <v>18.241708186002739</v>
      </c>
      <c r="AH93" s="78">
        <v>18.299792418720411</v>
      </c>
      <c r="AI93" s="78">
        <v>18.331493335320584</v>
      </c>
      <c r="AJ93" s="78">
        <v>18.373506559939237</v>
      </c>
      <c r="AK93" s="78">
        <v>18.438198215648956</v>
      </c>
      <c r="AL93" s="78">
        <v>18.500355931601359</v>
      </c>
      <c r="AM93" s="78">
        <v>18.530190068772846</v>
      </c>
      <c r="AN93" s="78">
        <v>18.584363346707306</v>
      </c>
      <c r="AO93" s="78">
        <v>18.637523684804233</v>
      </c>
      <c r="AP93" s="78">
        <v>18.68073373195411</v>
      </c>
      <c r="AQ93" s="78">
        <v>18.716324879266995</v>
      </c>
      <c r="AR93" s="78">
        <v>18.749237735836832</v>
      </c>
      <c r="AS93" s="78">
        <v>18.796644473193837</v>
      </c>
      <c r="AT93" s="78">
        <v>18.839441772805944</v>
      </c>
      <c r="AU93" s="78">
        <v>18.866114665689128</v>
      </c>
      <c r="AV93" s="78">
        <v>18.898681698074281</v>
      </c>
      <c r="AW93" s="78">
        <v>18.941472839473828</v>
      </c>
      <c r="AX93" s="78">
        <v>18.982213677930918</v>
      </c>
      <c r="AY93" s="78">
        <v>19.016363045461553</v>
      </c>
      <c r="AZ93" s="78">
        <v>19.050033332686933</v>
      </c>
      <c r="BA93" s="78">
        <v>19.085941568223944</v>
      </c>
      <c r="BB93" s="78">
        <v>19.122003699396164</v>
      </c>
      <c r="BC93" s="78">
        <v>19.155929491450326</v>
      </c>
      <c r="BD93" s="78">
        <v>19.184678357978179</v>
      </c>
      <c r="BE93" s="78">
        <v>19.214399931698193</v>
      </c>
      <c r="BF93" s="78">
        <v>19.241245714567832</v>
      </c>
      <c r="BG93" s="78">
        <v>19.263316505831341</v>
      </c>
      <c r="BH93" s="78">
        <v>19.290526182502468</v>
      </c>
      <c r="BI93" s="78">
        <v>19.320768296043806</v>
      </c>
      <c r="BJ93" s="78">
        <v>19.344751196218514</v>
      </c>
      <c r="BK93" s="78">
        <v>19.363162472819955</v>
      </c>
      <c r="BL93" s="78">
        <v>19.386538541517943</v>
      </c>
      <c r="BM93" s="78">
        <v>19.4089155938447</v>
      </c>
    </row>
    <row r="94" spans="1:65" s="33" customFormat="1" ht="15.5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>
        <v>71</v>
      </c>
      <c r="P94" s="78">
        <v>16.328866984256386</v>
      </c>
      <c r="Q94" s="78">
        <v>16.641424786199323</v>
      </c>
      <c r="R94" s="78">
        <v>16.703569527239758</v>
      </c>
      <c r="S94" s="78">
        <v>16.764708672843977</v>
      </c>
      <c r="T94" s="78">
        <v>16.825661670188488</v>
      </c>
      <c r="U94" s="78">
        <v>16.884000332502026</v>
      </c>
      <c r="V94" s="78">
        <v>16.944675870721074</v>
      </c>
      <c r="W94" s="78">
        <v>17.002153221631868</v>
      </c>
      <c r="X94" s="78">
        <v>17.061561621357725</v>
      </c>
      <c r="Y94" s="78">
        <v>17.11644146685946</v>
      </c>
      <c r="Z94" s="78">
        <v>17.174437257141815</v>
      </c>
      <c r="AA94" s="78">
        <v>17.229577555736764</v>
      </c>
      <c r="AB94" s="78">
        <v>17.283423281557369</v>
      </c>
      <c r="AC94" s="78">
        <v>17.336009664954609</v>
      </c>
      <c r="AD94" s="78">
        <v>17.390111795933038</v>
      </c>
      <c r="AE94" s="78">
        <v>17.436311036678877</v>
      </c>
      <c r="AF94" s="78">
        <v>17.481261765202479</v>
      </c>
      <c r="AG94" s="78">
        <v>17.534392049452066</v>
      </c>
      <c r="AH94" s="78">
        <v>17.592461316027912</v>
      </c>
      <c r="AI94" s="78">
        <v>17.623747410016211</v>
      </c>
      <c r="AJ94" s="78">
        <v>17.665512144638324</v>
      </c>
      <c r="AK94" s="78">
        <v>17.73033938973224</v>
      </c>
      <c r="AL94" s="78">
        <v>17.792592259687439</v>
      </c>
      <c r="AM94" s="78">
        <v>17.82206246506232</v>
      </c>
      <c r="AN94" s="78">
        <v>17.876256157486694</v>
      </c>
      <c r="AO94" s="78">
        <v>17.929462274740043</v>
      </c>
      <c r="AP94" s="78">
        <v>17.972555678831959</v>
      </c>
      <c r="AQ94" s="78">
        <v>18.007959727137965</v>
      </c>
      <c r="AR94" s="78">
        <v>18.040634673230613</v>
      </c>
      <c r="AS94" s="78">
        <v>18.088063872252697</v>
      </c>
      <c r="AT94" s="78">
        <v>18.130816119340786</v>
      </c>
      <c r="AU94" s="78">
        <v>18.157226839121691</v>
      </c>
      <c r="AV94" s="78">
        <v>18.189620414427907</v>
      </c>
      <c r="AW94" s="78">
        <v>18.23242590657124</v>
      </c>
      <c r="AX94" s="78">
        <v>18.273160211233126</v>
      </c>
      <c r="AY94" s="78">
        <v>18.307220592098965</v>
      </c>
      <c r="AZ94" s="78">
        <v>18.340804651375787</v>
      </c>
      <c r="BA94" s="78">
        <v>18.376685624981867</v>
      </c>
      <c r="BB94" s="78">
        <v>18.412735199563802</v>
      </c>
      <c r="BC94" s="78">
        <v>18.446633408784226</v>
      </c>
      <c r="BD94" s="78">
        <v>18.475277379780422</v>
      </c>
      <c r="BE94" s="78">
        <v>18.50495835854796</v>
      </c>
      <c r="BF94" s="78">
        <v>18.53171466117379</v>
      </c>
      <c r="BG94" s="78">
        <v>18.553624441293053</v>
      </c>
      <c r="BH94" s="78">
        <v>18.580765113372589</v>
      </c>
      <c r="BI94" s="78">
        <v>18.611006382262648</v>
      </c>
      <c r="BJ94" s="78">
        <v>18.634920259821524</v>
      </c>
      <c r="BK94" s="78">
        <v>18.6531583836991</v>
      </c>
      <c r="BL94" s="78">
        <v>18.676476394831564</v>
      </c>
      <c r="BM94" s="78">
        <v>18.698789153361297</v>
      </c>
    </row>
    <row r="95" spans="1:65" s="33" customFormat="1" ht="15.5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>
        <v>72</v>
      </c>
      <c r="P95" s="78">
        <v>15.63369556195374</v>
      </c>
      <c r="Q95" s="78">
        <v>15.938514740363656</v>
      </c>
      <c r="R95" s="78">
        <v>16.000466396486551</v>
      </c>
      <c r="S95" s="78">
        <v>16.061358839818251</v>
      </c>
      <c r="T95" s="78">
        <v>16.122054663039588</v>
      </c>
      <c r="U95" s="78">
        <v>16.180147541311189</v>
      </c>
      <c r="V95" s="78">
        <v>16.240619660116746</v>
      </c>
      <c r="W95" s="78">
        <v>16.297933901058354</v>
      </c>
      <c r="X95" s="78">
        <v>16.357184626965804</v>
      </c>
      <c r="Y95" s="78">
        <v>16.411860609241131</v>
      </c>
      <c r="Z95" s="78">
        <v>16.469747171681679</v>
      </c>
      <c r="AA95" s="78">
        <v>16.524695850029683</v>
      </c>
      <c r="AB95" s="78">
        <v>16.578359546554179</v>
      </c>
      <c r="AC95" s="78">
        <v>16.630793937789996</v>
      </c>
      <c r="AD95" s="78">
        <v>16.684852877657768</v>
      </c>
      <c r="AE95" s="78">
        <v>16.730801112997199</v>
      </c>
      <c r="AF95" s="78">
        <v>16.775525995300754</v>
      </c>
      <c r="AG95" s="78">
        <v>16.828627166559546</v>
      </c>
      <c r="AH95" s="78">
        <v>16.886718336682179</v>
      </c>
      <c r="AI95" s="78">
        <v>16.917623504224796</v>
      </c>
      <c r="AJ95" s="78">
        <v>16.959173505481804</v>
      </c>
      <c r="AK95" s="78">
        <v>17.024199803858277</v>
      </c>
      <c r="AL95" s="78">
        <v>17.086624253264834</v>
      </c>
      <c r="AM95" s="78">
        <v>17.115732360809556</v>
      </c>
      <c r="AN95" s="78">
        <v>17.170026789798001</v>
      </c>
      <c r="AO95" s="78">
        <v>17.223325780087539</v>
      </c>
      <c r="AP95" s="78">
        <v>17.266387171825979</v>
      </c>
      <c r="AQ95" s="78">
        <v>17.301623379645157</v>
      </c>
      <c r="AR95" s="78">
        <v>17.334135003802096</v>
      </c>
      <c r="AS95" s="78">
        <v>17.381615237378767</v>
      </c>
      <c r="AT95" s="78">
        <v>17.424386066166871</v>
      </c>
      <c r="AU95" s="78">
        <v>17.450551768451504</v>
      </c>
      <c r="AV95" s="78">
        <v>17.482816143281457</v>
      </c>
      <c r="AW95" s="78">
        <v>17.525651495783109</v>
      </c>
      <c r="AX95" s="78">
        <v>17.566423804183003</v>
      </c>
      <c r="AY95" s="78">
        <v>17.600420620495782</v>
      </c>
      <c r="AZ95" s="78">
        <v>17.633945758924483</v>
      </c>
      <c r="BA95" s="78">
        <v>17.669817511600602</v>
      </c>
      <c r="BB95" s="78">
        <v>17.705892008064524</v>
      </c>
      <c r="BC95" s="78">
        <v>17.73979171577227</v>
      </c>
      <c r="BD95" s="78">
        <v>17.768359019507841</v>
      </c>
      <c r="BE95" s="78">
        <v>17.798001750050556</v>
      </c>
      <c r="BF95" s="78">
        <v>17.824737344694377</v>
      </c>
      <c r="BG95" s="78">
        <v>17.846510091278766</v>
      </c>
      <c r="BH95" s="78">
        <v>17.873582921866138</v>
      </c>
      <c r="BI95" s="78">
        <v>17.903832285081627</v>
      </c>
      <c r="BJ95" s="78">
        <v>17.927699418927858</v>
      </c>
      <c r="BK95" s="78">
        <v>17.945803887257533</v>
      </c>
      <c r="BL95" s="78">
        <v>17.969043345314642</v>
      </c>
      <c r="BM95" s="78">
        <v>17.991327240167347</v>
      </c>
    </row>
    <row r="96" spans="1:65" s="33" customFormat="1" ht="15.5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>
        <v>73</v>
      </c>
      <c r="P96" s="78">
        <v>14.940093651232365</v>
      </c>
      <c r="Q96" s="78">
        <v>15.237241605237427</v>
      </c>
      <c r="R96" s="78">
        <v>15.298995722578828</v>
      </c>
      <c r="S96" s="78">
        <v>15.359779231957125</v>
      </c>
      <c r="T96" s="78">
        <v>15.42027717974524</v>
      </c>
      <c r="U96" s="78">
        <v>15.478130155063758</v>
      </c>
      <c r="V96" s="78">
        <v>15.538456643362345</v>
      </c>
      <c r="W96" s="78">
        <v>15.595598492001713</v>
      </c>
      <c r="X96" s="78">
        <v>15.654821856921961</v>
      </c>
      <c r="Y96" s="78">
        <v>15.709333746799807</v>
      </c>
      <c r="Z96" s="78">
        <v>15.767167056288567</v>
      </c>
      <c r="AA96" s="78">
        <v>15.822033258221058</v>
      </c>
      <c r="AB96" s="78">
        <v>15.875538831154648</v>
      </c>
      <c r="AC96" s="78">
        <v>15.927824979128612</v>
      </c>
      <c r="AD96" s="78">
        <v>15.981866093242095</v>
      </c>
      <c r="AE96" s="78">
        <v>16.027728043537838</v>
      </c>
      <c r="AF96" s="78">
        <v>16.07222397956884</v>
      </c>
      <c r="AG96" s="78">
        <v>16.125322769408815</v>
      </c>
      <c r="AH96" s="78">
        <v>16.183553424411237</v>
      </c>
      <c r="AI96" s="78">
        <v>16.21407843808905</v>
      </c>
      <c r="AJ96" s="78">
        <v>16.255457642649532</v>
      </c>
      <c r="AK96" s="78">
        <v>16.320732332414924</v>
      </c>
      <c r="AL96" s="78">
        <v>16.383404059078817</v>
      </c>
      <c r="AM96" s="78">
        <v>16.412186318367496</v>
      </c>
      <c r="AN96" s="78">
        <v>16.466599508495062</v>
      </c>
      <c r="AO96" s="78">
        <v>16.520065381811147</v>
      </c>
      <c r="AP96" s="78">
        <v>16.563137006006908</v>
      </c>
      <c r="AQ96" s="78">
        <v>16.598280679955128</v>
      </c>
      <c r="AR96" s="78">
        <v>16.630646187886402</v>
      </c>
      <c r="AS96" s="78">
        <v>16.678275983899699</v>
      </c>
      <c r="AT96" s="78">
        <v>16.72108697231192</v>
      </c>
      <c r="AU96" s="78">
        <v>16.747057446985561</v>
      </c>
      <c r="AV96" s="78">
        <v>16.779225011062223</v>
      </c>
      <c r="AW96" s="78">
        <v>16.822149427064716</v>
      </c>
      <c r="AX96" s="78">
        <v>16.862967799977305</v>
      </c>
      <c r="AY96" s="78">
        <v>16.896945176817635</v>
      </c>
      <c r="AZ96" s="78">
        <v>16.930442780852623</v>
      </c>
      <c r="BA96" s="78">
        <v>16.966332946662671</v>
      </c>
      <c r="BB96" s="78">
        <v>17.002446875168143</v>
      </c>
      <c r="BC96" s="78">
        <v>17.036386383986997</v>
      </c>
      <c r="BD96" s="78">
        <v>17.064914464656482</v>
      </c>
      <c r="BE96" s="78">
        <v>17.094528001225033</v>
      </c>
      <c r="BF96" s="78">
        <v>17.121230731588575</v>
      </c>
      <c r="BG96" s="78">
        <v>17.142961612157251</v>
      </c>
      <c r="BH96" s="78">
        <v>17.1700085187355</v>
      </c>
      <c r="BI96" s="78">
        <v>17.200261618633185</v>
      </c>
      <c r="BJ96" s="78">
        <v>17.224066903557745</v>
      </c>
      <c r="BK96" s="78">
        <v>17.242077017511992</v>
      </c>
      <c r="BL96" s="78">
        <v>17.265284968610892</v>
      </c>
      <c r="BM96" s="78">
        <v>17.287498294477547</v>
      </c>
    </row>
    <row r="97" spans="1:65" s="33" customFormat="1" ht="15.5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13"/>
      <c r="L97" s="2"/>
      <c r="M97" s="2"/>
      <c r="N97" s="2"/>
      <c r="O97" s="2">
        <v>74</v>
      </c>
      <c r="P97" s="78">
        <v>14.24764848788595</v>
      </c>
      <c r="Q97" s="78">
        <v>14.53844133622912</v>
      </c>
      <c r="R97" s="78">
        <v>14.599866173819905</v>
      </c>
      <c r="S97" s="78">
        <v>14.66048661574043</v>
      </c>
      <c r="T97" s="78">
        <v>14.720915501684265</v>
      </c>
      <c r="U97" s="78">
        <v>14.778538275559187</v>
      </c>
      <c r="V97" s="78">
        <v>14.838712017554556</v>
      </c>
      <c r="W97" s="78">
        <v>14.895671320580647</v>
      </c>
      <c r="X97" s="78">
        <v>14.954822654969547</v>
      </c>
      <c r="Y97" s="78">
        <v>15.009265971470951</v>
      </c>
      <c r="Z97" s="78">
        <v>15.067035858264058</v>
      </c>
      <c r="AA97" s="78">
        <v>15.121854826143785</v>
      </c>
      <c r="AB97" s="78">
        <v>15.175284340785312</v>
      </c>
      <c r="AC97" s="78">
        <v>15.227426617077876</v>
      </c>
      <c r="AD97" s="78">
        <v>15.281383429497994</v>
      </c>
      <c r="AE97" s="78">
        <v>15.327155915988955</v>
      </c>
      <c r="AF97" s="78">
        <v>15.371568465874889</v>
      </c>
      <c r="AG97" s="78">
        <v>15.424621917881698</v>
      </c>
      <c r="AH97" s="78">
        <v>15.4830101657868</v>
      </c>
      <c r="AI97" s="78">
        <v>15.51321036640921</v>
      </c>
      <c r="AJ97" s="78">
        <v>15.554409242162061</v>
      </c>
      <c r="AK97" s="78">
        <v>15.619979050375262</v>
      </c>
      <c r="AL97" s="78">
        <v>15.682914138821122</v>
      </c>
      <c r="AM97" s="78">
        <v>15.711396294648207</v>
      </c>
      <c r="AN97" s="78">
        <v>15.765955363675417</v>
      </c>
      <c r="AO97" s="78">
        <v>15.819587028626565</v>
      </c>
      <c r="AP97" s="78">
        <v>15.862685943276913</v>
      </c>
      <c r="AQ97" s="78">
        <v>15.897755352931329</v>
      </c>
      <c r="AR97" s="78">
        <v>15.930000531700154</v>
      </c>
      <c r="AS97" s="78">
        <v>15.977802664408374</v>
      </c>
      <c r="AT97" s="78">
        <v>16.020712589612636</v>
      </c>
      <c r="AU97" s="78">
        <v>16.04647473871854</v>
      </c>
      <c r="AV97" s="78">
        <v>16.078573316737444</v>
      </c>
      <c r="AW97" s="78">
        <v>16.121625402913168</v>
      </c>
      <c r="AX97" s="78">
        <v>16.162524377763493</v>
      </c>
      <c r="AY97" s="78">
        <v>16.196470602086329</v>
      </c>
      <c r="AZ97" s="78">
        <v>16.229968163703642</v>
      </c>
      <c r="BA97" s="78">
        <v>16.265902084074401</v>
      </c>
      <c r="BB97" s="78">
        <v>16.302065671056159</v>
      </c>
      <c r="BC97" s="78">
        <v>16.336043624117384</v>
      </c>
      <c r="BD97" s="78">
        <v>16.36454800185615</v>
      </c>
      <c r="BE97" s="78">
        <v>16.394167680458494</v>
      </c>
      <c r="BF97" s="78">
        <v>16.420807297737227</v>
      </c>
      <c r="BG97" s="78">
        <v>16.442464646910086</v>
      </c>
      <c r="BH97" s="78">
        <v>16.469577872660661</v>
      </c>
      <c r="BI97" s="78">
        <v>16.499874835053724</v>
      </c>
      <c r="BJ97" s="78">
        <v>16.523595452986658</v>
      </c>
      <c r="BK97" s="78">
        <v>16.541468113764427</v>
      </c>
      <c r="BL97" s="78">
        <v>16.564695357338042</v>
      </c>
      <c r="BM97" s="78">
        <v>16.586861422284592</v>
      </c>
    </row>
    <row r="98" spans="1:65" s="33" customFormat="1" ht="15.5" x14ac:dyDescent="0.35">
      <c r="A98" s="2"/>
      <c r="B98" s="2"/>
      <c r="C98" s="2"/>
      <c r="D98" s="2"/>
      <c r="E98" s="2"/>
      <c r="F98" s="2"/>
      <c r="G98" s="2"/>
      <c r="H98" s="2"/>
      <c r="I98"/>
      <c r="J98"/>
      <c r="K98"/>
      <c r="L98"/>
      <c r="M98" s="2"/>
      <c r="N98" s="2"/>
      <c r="O98" s="2">
        <v>75</v>
      </c>
      <c r="P98" s="78">
        <v>13.560282886855129</v>
      </c>
      <c r="Q98" s="78">
        <v>13.845470146186118</v>
      </c>
      <c r="R98" s="78">
        <v>13.906661426327757</v>
      </c>
      <c r="S98" s="78">
        <v>13.967017638438342</v>
      </c>
      <c r="T98" s="78">
        <v>14.027362150294747</v>
      </c>
      <c r="U98" s="78">
        <v>14.084908727140263</v>
      </c>
      <c r="V98" s="78">
        <v>14.144959547730412</v>
      </c>
      <c r="W98" s="78">
        <v>14.201773291730508</v>
      </c>
      <c r="X98" s="78">
        <v>14.260839565717129</v>
      </c>
      <c r="Y98" s="78">
        <v>14.315185840508846</v>
      </c>
      <c r="Z98" s="78">
        <v>14.373002516937605</v>
      </c>
      <c r="AA98" s="78">
        <v>14.427758246075475</v>
      </c>
      <c r="AB98" s="78">
        <v>14.481169862117833</v>
      </c>
      <c r="AC98" s="78">
        <v>14.533261073841109</v>
      </c>
      <c r="AD98" s="78">
        <v>14.587163884997</v>
      </c>
      <c r="AE98" s="78">
        <v>14.632744692784854</v>
      </c>
      <c r="AF98" s="78">
        <v>14.677084600751227</v>
      </c>
      <c r="AG98" s="78">
        <v>14.730266054540127</v>
      </c>
      <c r="AH98" s="78">
        <v>14.788768983126502</v>
      </c>
      <c r="AI98" s="78">
        <v>14.8186371222208</v>
      </c>
      <c r="AJ98" s="78">
        <v>14.859726366116972</v>
      </c>
      <c r="AK98" s="78">
        <v>14.925626263775529</v>
      </c>
      <c r="AL98" s="78">
        <v>14.988879187433184</v>
      </c>
      <c r="AM98" s="78">
        <v>15.017027405111554</v>
      </c>
      <c r="AN98" s="78">
        <v>15.071808262733736</v>
      </c>
      <c r="AO98" s="78">
        <v>15.125628625736368</v>
      </c>
      <c r="AP98" s="78">
        <v>15.168744733434101</v>
      </c>
      <c r="AQ98" s="78">
        <v>15.203732925559303</v>
      </c>
      <c r="AR98" s="78">
        <v>15.235878226919539</v>
      </c>
      <c r="AS98" s="78">
        <v>15.283889416941701</v>
      </c>
      <c r="AT98" s="78">
        <v>15.326924753494053</v>
      </c>
      <c r="AU98" s="78">
        <v>15.352511300421368</v>
      </c>
      <c r="AV98" s="78">
        <v>15.384536830011614</v>
      </c>
      <c r="AW98" s="78">
        <v>15.427759249657196</v>
      </c>
      <c r="AX98" s="78">
        <v>15.468788484246074</v>
      </c>
      <c r="AY98" s="78">
        <v>15.502731163646217</v>
      </c>
      <c r="AZ98" s="78">
        <v>15.536217529086942</v>
      </c>
      <c r="BA98" s="78">
        <v>15.572231141650219</v>
      </c>
      <c r="BB98" s="78">
        <v>15.608478591284113</v>
      </c>
      <c r="BC98" s="78">
        <v>15.642503114844702</v>
      </c>
      <c r="BD98" s="78">
        <v>15.670975253790955</v>
      </c>
      <c r="BE98" s="78">
        <v>15.70061960909427</v>
      </c>
      <c r="BF98" s="78">
        <v>15.727238575879609</v>
      </c>
      <c r="BG98" s="78">
        <v>15.74876820225515</v>
      </c>
      <c r="BH98" s="78">
        <v>15.775917647236755</v>
      </c>
      <c r="BI98" s="78">
        <v>15.806375013091747</v>
      </c>
      <c r="BJ98" s="78">
        <v>15.83005276250357</v>
      </c>
      <c r="BK98" s="78">
        <v>15.847752087083261</v>
      </c>
      <c r="BL98" s="78">
        <v>15.870949883796197</v>
      </c>
      <c r="BM98" s="78">
        <v>15.893135983188873</v>
      </c>
    </row>
    <row r="99" spans="1:65" s="33" customFormat="1" ht="15.5" x14ac:dyDescent="0.35">
      <c r="A99" s="2"/>
      <c r="B99" s="2"/>
      <c r="C99" s="2"/>
      <c r="D99" s="2"/>
      <c r="E99" s="2"/>
      <c r="F99" s="2"/>
      <c r="G99" s="2"/>
      <c r="H99" s="2"/>
      <c r="I99"/>
      <c r="J99"/>
      <c r="K99"/>
      <c r="L99"/>
      <c r="M99" s="2"/>
      <c r="N99" s="2"/>
      <c r="O99" s="2">
        <v>76</v>
      </c>
      <c r="P99" s="78">
        <v>12.880029133531007</v>
      </c>
      <c r="Q99" s="78">
        <v>13.158241319050845</v>
      </c>
      <c r="R99" s="78">
        <v>13.219614533621597</v>
      </c>
      <c r="S99" s="78">
        <v>13.279816623307733</v>
      </c>
      <c r="T99" s="78">
        <v>13.339918369069276</v>
      </c>
      <c r="U99" s="78">
        <v>13.397343090987357</v>
      </c>
      <c r="V99" s="78">
        <v>13.457499678341975</v>
      </c>
      <c r="W99" s="78">
        <v>13.514210701273267</v>
      </c>
      <c r="X99" s="78">
        <v>13.573210443313069</v>
      </c>
      <c r="Y99" s="78">
        <v>13.627464010129913</v>
      </c>
      <c r="Z99" s="78">
        <v>13.68528414151095</v>
      </c>
      <c r="AA99" s="78">
        <v>13.740139503824828</v>
      </c>
      <c r="AB99" s="78">
        <v>13.793529577416706</v>
      </c>
      <c r="AC99" s="78">
        <v>13.845635614617429</v>
      </c>
      <c r="AD99" s="78">
        <v>13.899622005478143</v>
      </c>
      <c r="AE99" s="78">
        <v>13.945018957047671</v>
      </c>
      <c r="AF99" s="78">
        <v>13.98918709566472</v>
      </c>
      <c r="AG99" s="78">
        <v>14.042517976242614</v>
      </c>
      <c r="AH99" s="78">
        <v>14.101386538372775</v>
      </c>
      <c r="AI99" s="78">
        <v>14.130829759487312</v>
      </c>
      <c r="AJ99" s="78">
        <v>14.171812106797917</v>
      </c>
      <c r="AK99" s="78">
        <v>14.23819593184707</v>
      </c>
      <c r="AL99" s="78">
        <v>14.301798106633726</v>
      </c>
      <c r="AM99" s="78">
        <v>14.329621358104859</v>
      </c>
      <c r="AN99" s="78">
        <v>14.38464043830464</v>
      </c>
      <c r="AO99" s="78">
        <v>14.438735167279711</v>
      </c>
      <c r="AP99" s="78">
        <v>14.481896117878581</v>
      </c>
      <c r="AQ99" s="78">
        <v>14.516772269193496</v>
      </c>
      <c r="AR99" s="78">
        <v>14.548833954307591</v>
      </c>
      <c r="AS99" s="78">
        <v>14.597106140285344</v>
      </c>
      <c r="AT99" s="78">
        <v>14.640334131198017</v>
      </c>
      <c r="AU99" s="78">
        <v>14.665741434209263</v>
      </c>
      <c r="AV99" s="78">
        <v>14.697769780278749</v>
      </c>
      <c r="AW99" s="78">
        <v>14.74117454721406</v>
      </c>
      <c r="AX99" s="78">
        <v>14.782395908442876</v>
      </c>
      <c r="AY99" s="78">
        <v>14.816374860919154</v>
      </c>
      <c r="AZ99" s="78">
        <v>14.849891733441551</v>
      </c>
      <c r="BA99" s="78">
        <v>14.885970734049939</v>
      </c>
      <c r="BB99" s="78">
        <v>14.922348482638007</v>
      </c>
      <c r="BC99" s="78">
        <v>14.956452266896136</v>
      </c>
      <c r="BD99" s="78">
        <v>14.984895709579357</v>
      </c>
      <c r="BE99" s="78">
        <v>15.014555421231529</v>
      </c>
      <c r="BF99" s="78">
        <v>15.041175020684889</v>
      </c>
      <c r="BG99" s="78">
        <v>15.062612133542251</v>
      </c>
      <c r="BH99" s="78">
        <v>15.089762454227163</v>
      </c>
      <c r="BI99" s="78">
        <v>15.120348526256167</v>
      </c>
      <c r="BJ99" s="78">
        <v>15.14411412810858</v>
      </c>
      <c r="BK99" s="78">
        <v>15.16167586326443</v>
      </c>
      <c r="BL99" s="78">
        <v>15.184808613760852</v>
      </c>
      <c r="BM99" s="78">
        <v>15.206961606369349</v>
      </c>
    </row>
    <row r="100" spans="1:65" s="33" customFormat="1" ht="15.5" x14ac:dyDescent="0.35">
      <c r="A100" s="2"/>
      <c r="B100" s="2"/>
      <c r="C100" s="2"/>
      <c r="D100" s="2"/>
      <c r="E100" s="2"/>
      <c r="F100" s="2"/>
      <c r="G100" s="2"/>
      <c r="H100" s="2"/>
      <c r="I100"/>
      <c r="J100"/>
      <c r="K100"/>
      <c r="L100"/>
      <c r="M100" s="2"/>
      <c r="N100" s="2"/>
      <c r="O100" s="2">
        <v>77</v>
      </c>
      <c r="P100" s="78">
        <v>12.204806617612567</v>
      </c>
      <c r="Q100" s="78">
        <v>12.474595776918099</v>
      </c>
      <c r="R100" s="78">
        <v>12.536044945325338</v>
      </c>
      <c r="S100" s="78">
        <v>12.596321027751868</v>
      </c>
      <c r="T100" s="78">
        <v>12.656209596248088</v>
      </c>
      <c r="U100" s="78">
        <v>12.713348469417245</v>
      </c>
      <c r="V100" s="78">
        <v>12.773544959016968</v>
      </c>
      <c r="W100" s="78">
        <v>12.830274647395132</v>
      </c>
      <c r="X100" s="78">
        <v>12.889207001925419</v>
      </c>
      <c r="Y100" s="78">
        <v>12.943360744173647</v>
      </c>
      <c r="Z100" s="78">
        <v>13.001152561288675</v>
      </c>
      <c r="AA100" s="78">
        <v>13.056054195597476</v>
      </c>
      <c r="AB100" s="78">
        <v>13.109509405288064</v>
      </c>
      <c r="AC100" s="78">
        <v>13.161595313026654</v>
      </c>
      <c r="AD100" s="78">
        <v>13.215706351004403</v>
      </c>
      <c r="AE100" s="78">
        <v>13.260986258260596</v>
      </c>
      <c r="AF100" s="78">
        <v>13.30498310868861</v>
      </c>
      <c r="AG100" s="78">
        <v>13.358367408083392</v>
      </c>
      <c r="AH100" s="78">
        <v>13.417627006586896</v>
      </c>
      <c r="AI100" s="78">
        <v>13.446764160787431</v>
      </c>
      <c r="AJ100" s="78">
        <v>13.487561663457575</v>
      </c>
      <c r="AK100" s="78">
        <v>13.55447644553176</v>
      </c>
      <c r="AL100" s="78">
        <v>13.618527312366476</v>
      </c>
      <c r="AM100" s="78">
        <v>13.645994416464735</v>
      </c>
      <c r="AN100" s="78">
        <v>13.701290546277496</v>
      </c>
      <c r="AO100" s="78">
        <v>13.755664152604112</v>
      </c>
      <c r="AP100" s="78">
        <v>13.798923718915605</v>
      </c>
      <c r="AQ100" s="78">
        <v>13.83367543182931</v>
      </c>
      <c r="AR100" s="78">
        <v>13.865625472647826</v>
      </c>
      <c r="AS100" s="78">
        <v>13.91416571055305</v>
      </c>
      <c r="AT100" s="78">
        <v>13.957622033791754</v>
      </c>
      <c r="AU100" s="78">
        <v>13.98284080995959</v>
      </c>
      <c r="AV100" s="78">
        <v>14.014880592544518</v>
      </c>
      <c r="AW100" s="78">
        <v>14.058518336387316</v>
      </c>
      <c r="AX100" s="78">
        <v>14.099942008048872</v>
      </c>
      <c r="AY100" s="78">
        <v>14.133978973656573</v>
      </c>
      <c r="AZ100" s="78">
        <v>14.167563784311149</v>
      </c>
      <c r="BA100" s="78">
        <v>14.20373378667759</v>
      </c>
      <c r="BB100" s="78">
        <v>14.240237582855938</v>
      </c>
      <c r="BC100" s="78">
        <v>14.274450267884253</v>
      </c>
      <c r="BD100" s="78">
        <v>14.302886606714043</v>
      </c>
      <c r="BE100" s="78">
        <v>14.332561340099126</v>
      </c>
      <c r="BF100" s="78">
        <v>14.359170291875953</v>
      </c>
      <c r="BG100" s="78">
        <v>14.380516723181268</v>
      </c>
      <c r="BH100" s="78">
        <v>14.407709682806468</v>
      </c>
      <c r="BI100" s="78">
        <v>14.438377691207222</v>
      </c>
      <c r="BJ100" s="78">
        <v>14.462197760409344</v>
      </c>
      <c r="BK100" s="78">
        <v>14.479707386819452</v>
      </c>
      <c r="BL100" s="78">
        <v>14.502812996955784</v>
      </c>
      <c r="BM100" s="78">
        <v>14.524904734459197</v>
      </c>
    </row>
    <row r="101" spans="1:65" s="33" customFormat="1" ht="15.5" x14ac:dyDescent="0.35">
      <c r="A101" s="2"/>
      <c r="B101" s="2"/>
      <c r="C101" s="2"/>
      <c r="D101" s="2"/>
      <c r="E101" s="2"/>
      <c r="F101" s="2"/>
      <c r="G101" s="2"/>
      <c r="H101" s="2"/>
      <c r="I101"/>
      <c r="J101"/>
      <c r="K101"/>
      <c r="L101"/>
      <c r="M101" s="2"/>
      <c r="N101" s="2"/>
      <c r="O101" s="2">
        <v>78</v>
      </c>
      <c r="P101" s="78">
        <v>11.537806145660396</v>
      </c>
      <c r="Q101" s="78">
        <v>11.798589641260772</v>
      </c>
      <c r="R101" s="78">
        <v>11.859935009712265</v>
      </c>
      <c r="S101" s="78">
        <v>11.92038260487419</v>
      </c>
      <c r="T101" s="78">
        <v>11.980515618294067</v>
      </c>
      <c r="U101" s="78">
        <v>12.037597556909281</v>
      </c>
      <c r="V101" s="78">
        <v>12.097791629515593</v>
      </c>
      <c r="W101" s="78">
        <v>12.154615024152319</v>
      </c>
      <c r="X101" s="78">
        <v>12.213776774743978</v>
      </c>
      <c r="Y101" s="78">
        <v>12.267936902286444</v>
      </c>
      <c r="Z101" s="78">
        <v>12.325863227084239</v>
      </c>
      <c r="AA101" s="78">
        <v>12.380848807144</v>
      </c>
      <c r="AB101" s="78">
        <v>12.43442826882206</v>
      </c>
      <c r="AC101" s="78">
        <v>12.4866829644329</v>
      </c>
      <c r="AD101" s="78">
        <v>12.540963370209512</v>
      </c>
      <c r="AE101" s="78">
        <v>12.586264866741525</v>
      </c>
      <c r="AF101" s="78">
        <v>12.630247394449325</v>
      </c>
      <c r="AG101" s="78">
        <v>12.68381178946534</v>
      </c>
      <c r="AH101" s="78">
        <v>12.743417190807012</v>
      </c>
      <c r="AI101" s="78">
        <v>12.772307601965087</v>
      </c>
      <c r="AJ101" s="78">
        <v>12.813141827831252</v>
      </c>
      <c r="AK101" s="78">
        <v>12.880618360462741</v>
      </c>
      <c r="AL101" s="78">
        <v>12.94526146895044</v>
      </c>
      <c r="AM101" s="78">
        <v>12.972463513184296</v>
      </c>
      <c r="AN101" s="78">
        <v>13.02813472698303</v>
      </c>
      <c r="AO101" s="78">
        <v>13.082897794848792</v>
      </c>
      <c r="AP101" s="78">
        <v>13.12629858593241</v>
      </c>
      <c r="AQ101" s="78">
        <v>13.161038579588908</v>
      </c>
      <c r="AR101" s="78">
        <v>13.192897394060237</v>
      </c>
      <c r="AS101" s="78">
        <v>13.241774539870436</v>
      </c>
      <c r="AT101" s="78">
        <v>13.285493006993478</v>
      </c>
      <c r="AU101" s="78">
        <v>13.310584707756902</v>
      </c>
      <c r="AV101" s="78">
        <v>13.342662893605763</v>
      </c>
      <c r="AW101" s="78">
        <v>13.386629326836635</v>
      </c>
      <c r="AX101" s="78">
        <v>13.428343718074572</v>
      </c>
      <c r="AY101" s="78">
        <v>13.462491691948298</v>
      </c>
      <c r="AZ101" s="78">
        <v>13.496206004373388</v>
      </c>
      <c r="BA101" s="78">
        <v>13.532572068470442</v>
      </c>
      <c r="BB101" s="78">
        <v>13.569273377792891</v>
      </c>
      <c r="BC101" s="78">
        <v>13.603639440577298</v>
      </c>
      <c r="BD101" s="78">
        <v>13.632133932023356</v>
      </c>
      <c r="BE101" s="78">
        <v>13.661898672110915</v>
      </c>
      <c r="BF101" s="78">
        <v>13.688530818037407</v>
      </c>
      <c r="BG101" s="78">
        <v>13.709805388174265</v>
      </c>
      <c r="BH101" s="78">
        <v>13.737091753516419</v>
      </c>
      <c r="BI101" s="78">
        <v>13.767943623925921</v>
      </c>
      <c r="BJ101" s="78">
        <v>13.791776555304212</v>
      </c>
      <c r="BK101" s="78">
        <v>13.809223872654009</v>
      </c>
      <c r="BL101" s="78">
        <v>13.832442013384936</v>
      </c>
      <c r="BM101" s="78">
        <v>13.854552710160435</v>
      </c>
    </row>
    <row r="102" spans="1:65" s="33" customFormat="1" ht="15.5" x14ac:dyDescent="0.35">
      <c r="A102" s="2"/>
      <c r="B102" s="2"/>
      <c r="C102" s="2"/>
      <c r="D102" s="2"/>
      <c r="E102" s="2"/>
      <c r="F102" s="2"/>
      <c r="G102" s="2"/>
      <c r="H102" s="2"/>
      <c r="I102"/>
      <c r="J102"/>
      <c r="K102"/>
      <c r="L102"/>
      <c r="M102" s="2"/>
      <c r="N102" s="2"/>
      <c r="O102" s="2">
        <v>79</v>
      </c>
      <c r="P102" s="33">
        <v>10.880095525079598</v>
      </c>
      <c r="Q102" s="33">
        <v>11.133329800231252</v>
      </c>
      <c r="R102" s="33">
        <v>11.194902955363435</v>
      </c>
      <c r="S102" s="33">
        <v>11.255204401827244</v>
      </c>
      <c r="T102" s="33">
        <v>11.315507519782203</v>
      </c>
      <c r="U102" s="33">
        <v>11.372943494929295</v>
      </c>
      <c r="V102" s="33">
        <v>11.433228021450155</v>
      </c>
      <c r="W102" s="33">
        <v>11.489965902311926</v>
      </c>
      <c r="X102" s="33">
        <v>11.549307518867382</v>
      </c>
      <c r="Y102" s="33">
        <v>11.603672220228839</v>
      </c>
      <c r="Z102" s="33">
        <v>11.661769904711939</v>
      </c>
      <c r="AA102" s="33">
        <v>11.716842344986036</v>
      </c>
      <c r="AB102" s="33">
        <v>11.770540556881553</v>
      </c>
      <c r="AC102" s="33">
        <v>11.822909154060739</v>
      </c>
      <c r="AD102" s="33">
        <v>11.877502850616146</v>
      </c>
      <c r="AE102" s="33">
        <v>11.922795165990189</v>
      </c>
      <c r="AF102" s="33">
        <v>11.966798233891472</v>
      </c>
      <c r="AG102" s="33">
        <v>12.020663445558148</v>
      </c>
      <c r="AH102" s="33">
        <v>12.080659243726332</v>
      </c>
      <c r="AI102" s="33">
        <v>12.109158285359765</v>
      </c>
      <c r="AJ102" s="33">
        <v>12.15002061676849</v>
      </c>
      <c r="AK102" s="33">
        <v>12.218306267838082</v>
      </c>
      <c r="AL102" s="33">
        <v>12.28353133270975</v>
      </c>
      <c r="AM102" s="33">
        <v>12.310430837529186</v>
      </c>
      <c r="AN102" s="33">
        <v>12.366598682880365</v>
      </c>
      <c r="AO102" s="33">
        <v>12.421780290150572</v>
      </c>
      <c r="AP102" s="33">
        <v>12.465352270925512</v>
      </c>
      <c r="AQ102" s="33">
        <v>12.500053272182328</v>
      </c>
      <c r="AR102" s="33">
        <v>12.531851673696352</v>
      </c>
      <c r="AS102" s="33">
        <v>12.581101388707575</v>
      </c>
      <c r="AT102" s="33">
        <v>12.625079524165482</v>
      </c>
      <c r="AU102" s="33">
        <v>12.650019162614807</v>
      </c>
      <c r="AV102" s="33">
        <v>12.682152829620222</v>
      </c>
      <c r="AW102" s="33">
        <v>12.726499683150678</v>
      </c>
      <c r="AX102" s="33">
        <v>12.768537410782217</v>
      </c>
      <c r="AY102" s="33">
        <v>12.802849486685341</v>
      </c>
      <c r="AZ102" s="33">
        <v>12.836693234265676</v>
      </c>
      <c r="BA102" s="33">
        <v>12.873296601944766</v>
      </c>
      <c r="BB102" s="33">
        <v>12.910242941639551</v>
      </c>
      <c r="BC102" s="33">
        <v>12.944796501315883</v>
      </c>
      <c r="BD102" s="33">
        <v>12.97333118655891</v>
      </c>
      <c r="BE102" s="33">
        <v>13.003214177866568</v>
      </c>
      <c r="BF102" s="33">
        <v>13.029887874407619</v>
      </c>
      <c r="BG102" s="33">
        <v>13.051075806798311</v>
      </c>
      <c r="BH102" s="33">
        <v>13.078449045683298</v>
      </c>
      <c r="BI102" s="33">
        <v>13.109512106560311</v>
      </c>
      <c r="BJ102" s="33">
        <v>13.133392587439975</v>
      </c>
      <c r="BK102" s="33">
        <v>13.150717226412111</v>
      </c>
      <c r="BL102" s="33">
        <v>13.174017902235081</v>
      </c>
      <c r="BM102" s="33">
        <v>13.196243924792867</v>
      </c>
    </row>
    <row r="103" spans="1:65" s="33" customFormat="1" ht="15.5" x14ac:dyDescent="0.35">
      <c r="A103" s="2"/>
      <c r="B103" s="2"/>
      <c r="C103" s="2"/>
      <c r="D103" s="2"/>
      <c r="E103" s="2"/>
      <c r="F103" s="2"/>
      <c r="G103" s="2"/>
      <c r="H103" s="2"/>
      <c r="I103"/>
      <c r="J103"/>
      <c r="K103"/>
      <c r="L103"/>
      <c r="M103" s="2"/>
      <c r="N103"/>
      <c r="O103" s="2">
        <v>80</v>
      </c>
      <c r="P103" s="33">
        <v>10.231837750412097</v>
      </c>
      <c r="Q103" s="33">
        <v>10.481053606630361</v>
      </c>
      <c r="R103" s="33">
        <v>10.542845391815877</v>
      </c>
      <c r="S103" s="33">
        <v>10.603062476937223</v>
      </c>
      <c r="T103" s="33">
        <v>10.663262318967021</v>
      </c>
      <c r="U103" s="33">
        <v>10.72094712855683</v>
      </c>
      <c r="V103" s="33">
        <v>10.781452563806248</v>
      </c>
      <c r="W103" s="33">
        <v>10.838103229515131</v>
      </c>
      <c r="X103" s="33">
        <v>10.897474302197979</v>
      </c>
      <c r="Y103" s="33">
        <v>10.951958627005775</v>
      </c>
      <c r="Z103" s="33">
        <v>11.010296055250812</v>
      </c>
      <c r="AA103" s="33">
        <v>11.065413518711717</v>
      </c>
      <c r="AB103" s="33">
        <v>11.119214068339319</v>
      </c>
      <c r="AC103" s="33">
        <v>11.171615983317073</v>
      </c>
      <c r="AD103" s="33">
        <v>11.2264638193347</v>
      </c>
      <c r="AE103" s="33">
        <v>11.271755211582569</v>
      </c>
      <c r="AF103" s="33">
        <v>11.315693065018596</v>
      </c>
      <c r="AG103" s="33">
        <v>11.369877510799625</v>
      </c>
      <c r="AH103" s="33">
        <v>11.430328580514551</v>
      </c>
      <c r="AI103" s="33">
        <v>11.4583612030141</v>
      </c>
      <c r="AJ103" s="33">
        <v>11.499107319676492</v>
      </c>
      <c r="AK103" s="33">
        <v>11.568253617696264</v>
      </c>
      <c r="AL103" s="33">
        <v>11.6342097448166</v>
      </c>
      <c r="AM103" s="33">
        <v>11.660663452736424</v>
      </c>
      <c r="AN103" s="33">
        <v>11.717353243003153</v>
      </c>
      <c r="AO103" s="33">
        <v>11.773014756088795</v>
      </c>
      <c r="AP103" s="33">
        <v>11.816734551683696</v>
      </c>
      <c r="AQ103" s="33">
        <v>11.851365271063958</v>
      </c>
      <c r="AR103" s="33">
        <v>11.883037499769879</v>
      </c>
      <c r="AS103" s="33">
        <v>11.932706978582265</v>
      </c>
      <c r="AT103" s="33">
        <v>11.976932221593243</v>
      </c>
      <c r="AU103" s="33">
        <v>12.001645327551213</v>
      </c>
      <c r="AV103" s="33">
        <v>12.033786773622744</v>
      </c>
      <c r="AW103" s="33">
        <v>12.078539241125332</v>
      </c>
      <c r="AX103" s="33">
        <v>12.120905649618177</v>
      </c>
      <c r="AY103" s="33">
        <v>12.155373155641875</v>
      </c>
      <c r="AZ103" s="33">
        <v>12.189357191052755</v>
      </c>
      <c r="BA103" s="33">
        <v>12.226187304718206</v>
      </c>
      <c r="BB103" s="33">
        <v>12.263391008666675</v>
      </c>
      <c r="BC103" s="33">
        <v>12.298151900973821</v>
      </c>
      <c r="BD103" s="33">
        <v>12.326717245384465</v>
      </c>
      <c r="BE103" s="33">
        <v>12.356688925416849</v>
      </c>
      <c r="BF103" s="33">
        <v>12.383398700567087</v>
      </c>
      <c r="BG103" s="33">
        <v>12.404480923232304</v>
      </c>
      <c r="BH103" s="33">
        <v>12.431921479677305</v>
      </c>
      <c r="BI103" s="33">
        <v>12.463182587384273</v>
      </c>
      <c r="BJ103" s="33">
        <v>12.487097017828598</v>
      </c>
      <c r="BK103" s="33">
        <v>12.504292673206576</v>
      </c>
      <c r="BL103" s="33">
        <v>12.527611096552766</v>
      </c>
      <c r="BM103" s="33">
        <v>12.5499053018877</v>
      </c>
    </row>
    <row r="104" spans="1:65" ht="15.5" x14ac:dyDescent="0.35">
      <c r="A104" s="2"/>
      <c r="B104" s="2"/>
      <c r="C104" s="2"/>
      <c r="D104" s="2"/>
      <c r="E104" s="2"/>
      <c r="F104" s="2"/>
      <c r="G104" s="2"/>
      <c r="H104" s="2"/>
      <c r="M104" s="2"/>
      <c r="BA104" s="2"/>
      <c r="BB104" s="2"/>
    </row>
    <row r="105" spans="1:65" ht="15.5" x14ac:dyDescent="0.35">
      <c r="A105" s="2"/>
      <c r="B105" s="2"/>
      <c r="C105" s="2"/>
      <c r="D105" s="2"/>
      <c r="E105" s="2"/>
      <c r="F105" s="2"/>
      <c r="G105" s="2"/>
      <c r="H105" s="2"/>
      <c r="M105" s="2"/>
      <c r="BA105" s="2"/>
      <c r="BB105" s="2"/>
    </row>
    <row r="106" spans="1:65" ht="15.5" x14ac:dyDescent="0.35">
      <c r="A106" s="2"/>
      <c r="B106" s="2"/>
      <c r="C106" s="2"/>
      <c r="D106" s="2"/>
      <c r="E106" s="2"/>
      <c r="F106" s="2"/>
      <c r="G106" s="2"/>
      <c r="H106" s="2"/>
      <c r="M106" s="2"/>
      <c r="BA106" s="2"/>
      <c r="BB106" s="2"/>
    </row>
    <row r="107" spans="1:65" ht="15.5" x14ac:dyDescent="0.35">
      <c r="A107" s="2"/>
      <c r="B107" s="2"/>
      <c r="C107" s="2"/>
      <c r="D107" s="2"/>
      <c r="E107" s="2"/>
      <c r="F107" s="2"/>
      <c r="G107" s="2"/>
      <c r="H107" s="2"/>
      <c r="M107" s="2"/>
      <c r="BA107" s="2"/>
      <c r="BB107" s="2"/>
    </row>
    <row r="108" spans="1:65" ht="15.5" x14ac:dyDescent="0.35">
      <c r="A108" s="2"/>
      <c r="B108" s="2"/>
      <c r="C108" s="2"/>
      <c r="D108" s="2"/>
      <c r="E108" s="2"/>
      <c r="F108" s="2"/>
      <c r="G108" s="2"/>
      <c r="H108" s="2"/>
      <c r="M108" s="2"/>
      <c r="BA108" s="2"/>
      <c r="BB108" s="2"/>
    </row>
    <row r="109" spans="1:65" ht="15.5" x14ac:dyDescent="0.35">
      <c r="A109" s="2"/>
      <c r="B109" s="2"/>
      <c r="C109" s="2"/>
      <c r="D109" s="2"/>
      <c r="E109" s="2"/>
      <c r="F109" s="2"/>
      <c r="G109" s="2"/>
      <c r="H109" s="2"/>
      <c r="M109" s="2"/>
      <c r="BA109" s="2"/>
      <c r="BB109" s="2"/>
    </row>
    <row r="110" spans="1:65" ht="15.5" x14ac:dyDescent="0.35">
      <c r="A110" s="2"/>
      <c r="B110" s="2"/>
      <c r="C110" s="2"/>
      <c r="D110" s="2"/>
      <c r="E110" s="2"/>
      <c r="F110" s="2"/>
      <c r="G110" s="2"/>
      <c r="H110" s="2"/>
      <c r="M110" s="2"/>
      <c r="BA110" s="2"/>
      <c r="BB110" s="2"/>
    </row>
    <row r="111" spans="1:65" ht="15.5" x14ac:dyDescent="0.35">
      <c r="A111" s="2"/>
      <c r="B111" s="2"/>
      <c r="C111" s="2"/>
      <c r="D111" s="2"/>
      <c r="E111" s="2"/>
      <c r="F111" s="2"/>
      <c r="G111" s="2"/>
      <c r="H111" s="2"/>
      <c r="M111" s="2"/>
      <c r="BA111" s="2"/>
      <c r="BB111" s="2"/>
    </row>
    <row r="112" spans="1:65" ht="15.5" x14ac:dyDescent="0.35">
      <c r="A112" s="2"/>
      <c r="B112" s="2"/>
      <c r="C112" s="2"/>
      <c r="D112" s="2"/>
      <c r="E112" s="2"/>
      <c r="F112" s="2"/>
      <c r="G112" s="2"/>
      <c r="H112" s="2"/>
      <c r="M112" s="2"/>
      <c r="BA112" s="2"/>
      <c r="BB112" s="2"/>
    </row>
    <row r="113" spans="1:54" ht="15.5" x14ac:dyDescent="0.35">
      <c r="A113" s="2"/>
      <c r="B113" s="2"/>
      <c r="C113" s="2"/>
      <c r="D113" s="2"/>
      <c r="E113" s="2"/>
      <c r="F113" s="2"/>
      <c r="G113" s="2"/>
      <c r="H113" s="2"/>
      <c r="M113" s="2"/>
      <c r="BA113" s="2"/>
      <c r="BB113" s="2"/>
    </row>
    <row r="114" spans="1:54" ht="15.5" x14ac:dyDescent="0.35">
      <c r="A114" s="2"/>
      <c r="B114" s="2"/>
      <c r="C114" s="2"/>
      <c r="D114" s="2"/>
      <c r="E114" s="2"/>
      <c r="F114" s="2"/>
      <c r="G114" s="2"/>
      <c r="H114" s="2"/>
      <c r="M114" s="2"/>
      <c r="BA114" s="2"/>
      <c r="BB114" s="2"/>
    </row>
    <row r="115" spans="1:54" ht="15.5" x14ac:dyDescent="0.35">
      <c r="A115" s="2"/>
      <c r="B115" s="2"/>
      <c r="C115" s="2"/>
      <c r="D115" s="2"/>
      <c r="E115" s="2"/>
      <c r="F115" s="2"/>
      <c r="G115" s="2"/>
      <c r="H115" s="2"/>
      <c r="M115" s="2"/>
      <c r="BA115" s="2"/>
      <c r="BB115" s="2"/>
    </row>
    <row r="116" spans="1:54" ht="15.5" x14ac:dyDescent="0.35">
      <c r="A116" s="2"/>
      <c r="B116" s="2"/>
      <c r="C116" s="2"/>
      <c r="D116" s="2"/>
      <c r="E116" s="2"/>
      <c r="F116" s="2"/>
      <c r="G116" s="2"/>
      <c r="H116" s="2"/>
      <c r="M116" s="2"/>
      <c r="BA116" s="2"/>
      <c r="BB116" s="2"/>
    </row>
    <row r="117" spans="1:54" ht="15.5" x14ac:dyDescent="0.35">
      <c r="A117" s="2"/>
      <c r="B117" s="2"/>
      <c r="C117" s="2"/>
      <c r="D117" s="2"/>
      <c r="E117" s="2"/>
      <c r="F117" s="2"/>
      <c r="G117" s="2"/>
      <c r="H117" s="2"/>
      <c r="M117" s="2"/>
      <c r="BA117" s="2"/>
      <c r="BB117" s="2"/>
    </row>
    <row r="118" spans="1:54" ht="15.5" x14ac:dyDescent="0.35">
      <c r="A118" s="2"/>
      <c r="B118" s="2"/>
      <c r="C118" s="2"/>
      <c r="D118" s="2"/>
      <c r="E118" s="2"/>
      <c r="F118" s="2"/>
      <c r="G118" s="2"/>
      <c r="H118" s="2"/>
      <c r="M118" s="2"/>
      <c r="BA118" s="2"/>
      <c r="BB118" s="2"/>
    </row>
    <row r="119" spans="1:54" ht="15.5" x14ac:dyDescent="0.35">
      <c r="A119" s="2"/>
      <c r="B119" s="2"/>
      <c r="C119" s="2"/>
      <c r="D119" s="2"/>
      <c r="E119" s="2"/>
      <c r="F119" s="2"/>
      <c r="G119" s="2"/>
      <c r="H119" s="2"/>
      <c r="M119" s="2"/>
      <c r="BA119" s="2"/>
      <c r="BB119" s="2"/>
    </row>
    <row r="120" spans="1:54" ht="15.5" x14ac:dyDescent="0.35">
      <c r="A120" s="2"/>
      <c r="B120" s="2"/>
      <c r="C120" s="2"/>
      <c r="D120" s="2"/>
      <c r="E120" s="2"/>
      <c r="F120" s="2"/>
      <c r="G120" s="2"/>
      <c r="H120" s="2"/>
      <c r="M120" s="2"/>
      <c r="BA120" s="2"/>
      <c r="BB120" s="2"/>
    </row>
    <row r="121" spans="1:54" ht="15.5" x14ac:dyDescent="0.35">
      <c r="A121" s="2"/>
      <c r="B121" s="2"/>
      <c r="C121" s="2"/>
      <c r="D121" s="2"/>
      <c r="E121" s="2"/>
      <c r="F121" s="2"/>
      <c r="G121" s="2"/>
      <c r="H121" s="2"/>
      <c r="M121" s="2"/>
      <c r="BA121" s="2"/>
      <c r="BB121" s="2"/>
    </row>
    <row r="122" spans="1:54" ht="15.5" x14ac:dyDescent="0.35">
      <c r="A122" s="2"/>
      <c r="B122" s="2"/>
      <c r="C122" s="2"/>
      <c r="D122" s="2"/>
      <c r="E122" s="2"/>
      <c r="F122" s="2"/>
      <c r="G122" s="2"/>
      <c r="H122" s="2"/>
      <c r="M122" s="2"/>
      <c r="BA122" s="2"/>
      <c r="BB122" s="2"/>
    </row>
    <row r="123" spans="1:54" ht="15.5" x14ac:dyDescent="0.35">
      <c r="A123" s="2"/>
      <c r="B123" s="2"/>
      <c r="C123" s="2"/>
      <c r="D123" s="2"/>
      <c r="E123" s="2"/>
      <c r="F123" s="2"/>
      <c r="G123" s="2"/>
      <c r="H123" s="2"/>
      <c r="M123" s="2"/>
      <c r="BA123" s="2"/>
      <c r="BB123" s="2"/>
    </row>
    <row r="124" spans="1:54" ht="15.5" x14ac:dyDescent="0.35">
      <c r="A124" s="2"/>
      <c r="B124" s="2"/>
      <c r="C124" s="2"/>
      <c r="D124" s="2"/>
      <c r="E124" s="2"/>
      <c r="F124" s="2"/>
      <c r="G124" s="2"/>
      <c r="H124" s="2"/>
      <c r="M124" s="2"/>
      <c r="BA124" s="2"/>
      <c r="BB124" s="2"/>
    </row>
    <row r="125" spans="1:54" ht="15.5" x14ac:dyDescent="0.35">
      <c r="A125" s="2"/>
      <c r="B125" s="2"/>
      <c r="C125" s="2"/>
      <c r="D125" s="2"/>
      <c r="E125" s="2"/>
      <c r="F125" s="2"/>
      <c r="G125" s="2"/>
      <c r="H125" s="2"/>
      <c r="M125" s="2"/>
      <c r="BA125" s="2"/>
      <c r="BB125" s="2"/>
    </row>
    <row r="126" spans="1:54" ht="15.5" x14ac:dyDescent="0.35">
      <c r="A126" s="2"/>
      <c r="B126" s="2"/>
      <c r="C126" s="2"/>
      <c r="D126" s="2"/>
      <c r="E126" s="2"/>
      <c r="F126" s="2"/>
      <c r="G126" s="2"/>
      <c r="H126" s="2"/>
      <c r="M126" s="2"/>
      <c r="BA126" s="2"/>
      <c r="BB126" s="2"/>
    </row>
    <row r="127" spans="1:54" ht="15.5" x14ac:dyDescent="0.35">
      <c r="A127" s="2"/>
      <c r="B127" s="2"/>
      <c r="C127" s="2"/>
      <c r="D127" s="2"/>
      <c r="E127" s="2"/>
      <c r="F127" s="2"/>
      <c r="G127" s="2"/>
      <c r="H127" s="2"/>
      <c r="M127" s="2"/>
      <c r="BA127" s="2"/>
      <c r="BB127" s="2"/>
    </row>
    <row r="128" spans="1:54" ht="15.5" x14ac:dyDescent="0.35">
      <c r="A128" s="2"/>
      <c r="B128" s="2"/>
      <c r="C128" s="2"/>
      <c r="D128" s="2"/>
      <c r="E128" s="2"/>
      <c r="F128" s="2"/>
      <c r="G128" s="2"/>
      <c r="H128" s="2"/>
      <c r="M128" s="2"/>
      <c r="BA128" s="2"/>
      <c r="BB128" s="2"/>
    </row>
    <row r="129" spans="1:54" ht="15.5" x14ac:dyDescent="0.35">
      <c r="A129" s="2"/>
      <c r="B129" s="2"/>
      <c r="C129" s="2"/>
      <c r="D129" s="2"/>
      <c r="E129" s="2"/>
      <c r="F129" s="2"/>
      <c r="G129" s="2"/>
      <c r="H129" s="2"/>
      <c r="M129" s="2"/>
      <c r="BA129" s="2"/>
      <c r="BB129" s="2"/>
    </row>
    <row r="130" spans="1:54" ht="15.5" x14ac:dyDescent="0.35">
      <c r="A130" s="2"/>
      <c r="B130" s="2"/>
      <c r="C130" s="2"/>
      <c r="D130" s="2"/>
      <c r="E130" s="2"/>
      <c r="F130" s="2"/>
      <c r="G130" s="2"/>
      <c r="H130" s="2"/>
      <c r="M130" s="2"/>
      <c r="BA130" s="2"/>
      <c r="BB130" s="2"/>
    </row>
    <row r="131" spans="1:54" ht="15.5" x14ac:dyDescent="0.35">
      <c r="A131" s="2"/>
      <c r="B131" s="2"/>
      <c r="C131" s="2"/>
      <c r="D131" s="2"/>
      <c r="E131" s="2"/>
      <c r="F131" s="2"/>
      <c r="G131" s="2"/>
      <c r="H131" s="2"/>
      <c r="M131" s="2"/>
      <c r="BA131" s="2"/>
      <c r="BB131" s="2"/>
    </row>
    <row r="132" spans="1:54" ht="15.5" x14ac:dyDescent="0.35">
      <c r="A132" s="2"/>
      <c r="B132" s="2"/>
      <c r="C132" s="2"/>
      <c r="D132" s="2"/>
      <c r="E132" s="2"/>
      <c r="F132" s="2"/>
      <c r="G132" s="2"/>
      <c r="H132" s="2"/>
      <c r="M132" s="2"/>
      <c r="BA132" s="2"/>
      <c r="BB132" s="2"/>
    </row>
    <row r="133" spans="1:54" ht="15.5" x14ac:dyDescent="0.35">
      <c r="A133" s="2"/>
      <c r="B133" s="2"/>
      <c r="C133" s="2"/>
      <c r="D133" s="2"/>
      <c r="E133" s="2"/>
      <c r="F133" s="2"/>
      <c r="G133" s="2"/>
      <c r="H133" s="2"/>
      <c r="M133" s="2"/>
      <c r="BA133" s="2"/>
      <c r="BB133" s="2"/>
    </row>
    <row r="134" spans="1:54" ht="15.5" x14ac:dyDescent="0.35">
      <c r="A134" s="2"/>
      <c r="B134" s="2"/>
      <c r="C134" s="2"/>
      <c r="D134" s="2"/>
      <c r="E134" s="2"/>
      <c r="F134" s="2"/>
      <c r="G134" s="2"/>
      <c r="H134" s="2"/>
      <c r="M134" s="2"/>
      <c r="BA134" s="2"/>
      <c r="BB134" s="2"/>
    </row>
    <row r="135" spans="1:54" ht="15.5" x14ac:dyDescent="0.35">
      <c r="A135" s="2"/>
      <c r="B135" s="2"/>
      <c r="C135" s="2"/>
      <c r="D135" s="2"/>
      <c r="E135" s="2"/>
      <c r="F135" s="2"/>
      <c r="G135" s="2"/>
      <c r="H135" s="2"/>
      <c r="I135" s="34"/>
      <c r="J135" s="13"/>
      <c r="K135" s="13"/>
      <c r="L135" s="2"/>
      <c r="M135" s="2"/>
      <c r="BA135" s="2"/>
      <c r="BB135" s="2"/>
    </row>
    <row r="136" spans="1:54" ht="15.5" x14ac:dyDescent="0.35">
      <c r="A136" s="2"/>
      <c r="B136" s="2"/>
      <c r="C136" s="2"/>
      <c r="D136" s="2"/>
      <c r="E136" s="2"/>
      <c r="F136" s="2"/>
      <c r="G136" s="2"/>
      <c r="H136" s="2"/>
      <c r="I136" s="34"/>
      <c r="J136" s="13"/>
      <c r="K136" s="13"/>
      <c r="L136" s="2"/>
      <c r="M136" s="2"/>
      <c r="BA136" s="2"/>
      <c r="BB136" s="2"/>
    </row>
    <row r="137" spans="1:54" ht="15.5" x14ac:dyDescent="0.35">
      <c r="A137" s="2"/>
      <c r="B137" s="2"/>
      <c r="C137" s="2"/>
      <c r="D137" s="2"/>
      <c r="E137" s="2"/>
      <c r="F137" s="2"/>
      <c r="G137" s="2"/>
      <c r="H137" s="2"/>
      <c r="I137" s="34"/>
      <c r="J137" s="13"/>
      <c r="K137" s="13"/>
      <c r="L137" s="2"/>
      <c r="M137" s="2"/>
      <c r="BA137" s="2"/>
      <c r="BB137" s="2"/>
    </row>
    <row r="138" spans="1:54" ht="15.5" x14ac:dyDescent="0.35">
      <c r="A138" s="2"/>
      <c r="B138" s="2"/>
      <c r="C138" s="2"/>
      <c r="D138" s="2"/>
      <c r="E138" s="2"/>
      <c r="F138" s="2"/>
      <c r="G138" s="2"/>
      <c r="H138" s="2"/>
      <c r="I138" s="34"/>
      <c r="J138" s="13"/>
      <c r="K138" s="13"/>
      <c r="L138" s="2"/>
      <c r="M138" s="2"/>
      <c r="BA138" s="2"/>
      <c r="BB138" s="2"/>
    </row>
    <row r="139" spans="1:54" ht="15.5" x14ac:dyDescent="0.35">
      <c r="A139" s="2"/>
      <c r="B139" s="2"/>
      <c r="C139" s="2"/>
      <c r="D139" s="2"/>
      <c r="E139" s="2"/>
      <c r="F139" s="2"/>
      <c r="G139" s="2"/>
      <c r="H139" s="2"/>
      <c r="I139" s="34"/>
      <c r="J139" s="13"/>
      <c r="K139" s="13"/>
      <c r="L139" s="2"/>
      <c r="M139" s="2"/>
      <c r="BA139" s="2"/>
      <c r="BB139" s="2"/>
    </row>
    <row r="140" spans="1:54" ht="15.5" x14ac:dyDescent="0.35">
      <c r="A140" s="2"/>
      <c r="B140" s="2"/>
      <c r="C140" s="2"/>
      <c r="D140" s="2"/>
      <c r="E140" s="2"/>
      <c r="F140" s="2"/>
      <c r="G140" s="2"/>
      <c r="H140" s="2"/>
      <c r="I140" s="34"/>
      <c r="J140" s="13"/>
      <c r="K140" s="1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1:54" ht="15.5" x14ac:dyDescent="0.35">
      <c r="A141" s="2"/>
      <c r="B141" s="2"/>
      <c r="C141" s="2"/>
      <c r="D141" s="2"/>
      <c r="E141" s="2"/>
      <c r="F141" s="2"/>
      <c r="G141" s="2"/>
      <c r="H141" s="2"/>
      <c r="I141" s="34"/>
      <c r="J141" s="13"/>
      <c r="K141" s="1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1:54" ht="15.5" x14ac:dyDescent="0.35">
      <c r="A142" s="2"/>
      <c r="B142" s="2"/>
      <c r="C142" s="2"/>
      <c r="D142" s="2"/>
      <c r="E142" s="2"/>
      <c r="F142" s="2"/>
      <c r="G142" s="2"/>
      <c r="H142" s="2"/>
      <c r="I142" s="34"/>
      <c r="J142" s="13"/>
      <c r="K142" s="1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1:54" ht="15.5" x14ac:dyDescent="0.35">
      <c r="A143" s="2"/>
      <c r="B143" s="2"/>
      <c r="C143" s="2"/>
      <c r="D143" s="2"/>
      <c r="E143" s="2"/>
      <c r="F143" s="2"/>
      <c r="G143" s="2"/>
      <c r="H143" s="2"/>
      <c r="I143" s="34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1:54" ht="15.5" x14ac:dyDescent="0.35">
      <c r="A144" s="2"/>
      <c r="B144" s="2"/>
      <c r="C144" s="2"/>
      <c r="D144" s="2"/>
      <c r="E144" s="2"/>
      <c r="F144" s="2"/>
      <c r="G144" s="2"/>
      <c r="H144" s="2"/>
      <c r="I144" s="34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1:54" ht="15.5" x14ac:dyDescent="0.35">
      <c r="A145" s="2"/>
      <c r="B145" s="2"/>
      <c r="C145" s="2"/>
      <c r="D145" s="2"/>
      <c r="E145" s="2"/>
      <c r="F145" s="2"/>
      <c r="G145" s="2"/>
      <c r="H145" s="2"/>
      <c r="I145" s="34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1:54" ht="15.5" x14ac:dyDescent="0.35">
      <c r="A146" s="2"/>
      <c r="B146" s="2"/>
      <c r="C146" s="2"/>
      <c r="D146" s="2"/>
      <c r="E146" s="2"/>
      <c r="F146" s="2"/>
      <c r="G146" s="2"/>
      <c r="H146" s="2"/>
      <c r="I146" s="34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1:54" ht="15.5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1:54" ht="15.5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1:54" ht="15.5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1:54" ht="15.5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1:54" ht="15.5" x14ac:dyDescent="0.35">
      <c r="A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</sheetData>
  <sheetProtection algorithmName="SHA-512" hashValue="nk4SfU3SHjThiYbMVs+jhYAMHQgdpsSIPw8sTsrqOEPwtPW/R/VybkW9ohGFeLWv+6FadeYV1CxUSo+9cE/M+w==" saltValue="49LawSt+BrtppwNQA/zWew==" spinCount="100000" sheet="1" objects="1" scenarios="1"/>
  <mergeCells count="19">
    <mergeCell ref="O27:V27"/>
    <mergeCell ref="O34:V34"/>
    <mergeCell ref="B2:H2"/>
    <mergeCell ref="AD1:AG1"/>
    <mergeCell ref="T2:AA2"/>
    <mergeCell ref="J2:M2"/>
    <mergeCell ref="O2:R2"/>
    <mergeCell ref="K32:L32"/>
    <mergeCell ref="B9:F9"/>
    <mergeCell ref="F22:H22"/>
    <mergeCell ref="B22:E22"/>
    <mergeCell ref="G4:H4"/>
    <mergeCell ref="B16:H16"/>
    <mergeCell ref="AZ5:BC5"/>
    <mergeCell ref="AZ13:BB13"/>
    <mergeCell ref="AJ3:AQ3"/>
    <mergeCell ref="AJ5:AK5"/>
    <mergeCell ref="AO5:AR5"/>
    <mergeCell ref="AO13:AQ13"/>
  </mergeCells>
  <conditionalFormatting sqref="F5">
    <cfRule type="expression" dxfId="0" priority="1">
      <formula>+D4=FALSE</formula>
    </cfRule>
  </conditionalFormatting>
  <dataValidations xWindow="1333" yWindow="545" count="19">
    <dataValidation allowBlank="1" showInputMessage="1" showErrorMessage="1" prompt="Importe anual, antes de impuestos y en euros actuales. La pensión privada crece un 2% anual, la parte pública un 0,25%." sqref="G21" xr:uid="{00000000-0002-0000-0000-000000000000}"/>
    <dataValidation allowBlank="1" showInputMessage="1" showErrorMessage="1" prompt="La pensión probable es anual, antes de impuestos y en euros actuales. Se divide en 14 pagas." sqref="G18" xr:uid="{00000000-0002-0000-0000-000001000000}"/>
    <dataValidation allowBlank="1" showInputMessage="1" showErrorMessage="1" prompt="Cuantía que debe aportar hoy y luego incrementarla un 2% cada año hasta la jubilación para obtener la pensión anual deseada" sqref="G20" xr:uid="{00000000-0002-0000-0000-000002000000}"/>
    <dataValidation type="whole" allowBlank="1" showInputMessage="1" showErrorMessage="1" error="EL año de nacimiento debe estar entre 1945 y 1996" sqref="E7" xr:uid="{00000000-0002-0000-0000-000003000000}">
      <formula1>1940</formula1>
      <formula2>1996</formula2>
    </dataValidation>
    <dataValidation type="whole" allowBlank="1" showInputMessage="1" showErrorMessage="1" sqref="D7" xr:uid="{00000000-0002-0000-0000-000004000000}">
      <formula1>1</formula1>
      <formula2>12</formula2>
    </dataValidation>
    <dataValidation type="whole" allowBlank="1" showInputMessage="1" showErrorMessage="1" sqref="C7 G11:G12" xr:uid="{00000000-0002-0000-0000-000005000000}">
      <formula1>1</formula1>
      <formula2>31</formula2>
    </dataValidation>
    <dataValidation type="whole" allowBlank="1" showInputMessage="1" showErrorMessage="1" error="La edad de jubilación debe ser superior a la mínima y no superior a 75" prompt="Es posible la prórroga en el servicio activo más allá de la edad de jubilación forzosa previa solicitud y autorización administrativa" sqref="D20" xr:uid="{00000000-0002-0000-0000-000006000000}">
      <formula1>D19</formula1>
      <formula2>75</formula2>
    </dataValidation>
    <dataValidation allowBlank="1" showInputMessage="1" showErrorMessage="1" prompt="Ahorro máximo anual con el fin de complementar la jubilación. Si no hay límite, dejar en blanco." sqref="G7" xr:uid="{00000000-0002-0000-0000-000007000000}"/>
    <dataValidation allowBlank="1" showInputMessage="1" showErrorMessage="1" prompt="La jubilación voluntaria anticipada requiere 30 años de servicio, solicitud y autorización administrativa" sqref="D19" xr:uid="{00000000-0002-0000-0000-000008000000}"/>
    <dataValidation allowBlank="1" showInputMessage="1" showErrorMessage="1" prompt="Es de 65 o 70 años según el Cuerpo pero con un mínimo de 15 años de servicio" sqref="D18" xr:uid="{00000000-0002-0000-0000-000009000000}"/>
    <dataValidation type="list" allowBlank="1" showInputMessage="1" showErrorMessage="1" errorTitle="Dato no permitido" sqref="E10" xr:uid="{00000000-0002-0000-0000-00000A000000}">
      <formula1>$K$7:$K$12</formula1>
    </dataValidation>
    <dataValidation type="list" allowBlank="1" showInputMessage="1" showErrorMessage="1" errorTitle="Dato no permitido" sqref="E11:E12" xr:uid="{00000000-0002-0000-0000-00000B000000}">
      <formula1>$K$7:$K$13</formula1>
    </dataValidation>
    <dataValidation type="whole" allowBlank="1" showInputMessage="1" showErrorMessage="1" error="El tiempo de servicio no puede dar lugar al ingreso antes de los 16 años" sqref="G10" xr:uid="{00000000-0002-0000-0000-00000C000000}">
      <formula1>0</formula1>
      <formula2>MAX(0,YEAR(TODAY())-E7-16)</formula2>
    </dataValidation>
    <dataValidation allowBlank="1" showInputMessage="1" showErrorMessage="1" prompt="Pensión anual, suma de la pública y la privada, que desearía en la jubilación en € actuales." sqref="G6" xr:uid="{00000000-0002-0000-0000-00000E000000}"/>
    <dataValidation type="whole" allowBlank="1" showInputMessage="1" showErrorMessage="1" sqref="H10:H12" xr:uid="{00000000-0002-0000-0000-00000F000000}">
      <formula1>0</formula1>
      <formula2>11</formula2>
    </dataValidation>
    <dataValidation allowBlank="1" showInputMessage="1" showErrorMessage="1" promptTitle="Supuestos" prompt="Rentabilidad del ahorro y valoración de la renta vitalicia = 3%_x000a_Crecimiento de la aportación, de la pensión privada e IPC = 2%_x000a_Revalorización del haber regulador o de la pensión pública =2%_x000a_Tablas de mortalidad: INE (proyección 2022-2072)_x000a_" sqref="G4:H4" xr:uid="{00000000-0002-0000-0000-000010000000}"/>
    <dataValidation type="list" allowBlank="1" showInputMessage="1" showErrorMessage="1" sqref="F5" xr:uid="{00000000-0002-0000-0000-000011000000}">
      <formula1>$V$43:$V$47</formula1>
    </dataValidation>
    <dataValidation type="whole" allowBlank="1" showInputMessage="1" showErrorMessage="1" sqref="E20" xr:uid="{00000000-0002-0000-0000-000012000000}">
      <formula1>IF(D20=D19,E19,0)</formula1>
      <formula2>11</formula2>
    </dataValidation>
    <dataValidation allowBlank="1" showInputMessage="1" showErrorMessage="1" prompt="Aplica la retención del IRPF según normativa vigente sin considerar supuestos especiales" sqref="G19" xr:uid="{00000000-0002-0000-0000-000013000000}"/>
  </dataValidations>
  <hyperlinks>
    <hyperlink ref="B22" r:id="rId1" xr:uid="{00000000-0004-0000-0000-000000000000}"/>
    <hyperlink ref="B22:E22" r:id="rId2" display="Información en el Ministerio" xr:uid="{00000000-0004-0000-0000-000001000000}"/>
  </hyperlinks>
  <pageMargins left="0.7" right="0.7" top="0.75" bottom="0.75" header="0.3" footer="0.3"/>
  <pageSetup paperSize="9" orientation="portrait" r:id="rId3"/>
  <drawing r:id="rId4"/>
  <legacyDrawing r:id="rId5"/>
  <controls>
    <mc:AlternateContent xmlns:mc="http://schemas.openxmlformats.org/markup-compatibility/2006">
      <mc:Choice Requires="x14">
        <control shapeId="1037" r:id="rId6" name="ComboBox1">
          <controlPr defaultSize="0" autoFill="0" autoLine="0" linkedCell="E14" listFillRange="K24:K27" r:id="rId7">
            <anchor moveWithCells="1">
              <from>
                <xdr:col>4</xdr:col>
                <xdr:colOff>12700</xdr:colOff>
                <xdr:row>12</xdr:row>
                <xdr:rowOff>184150</xdr:rowOff>
              </from>
              <to>
                <xdr:col>5</xdr:col>
                <xdr:colOff>2660650</xdr:colOff>
                <xdr:row>14</xdr:row>
                <xdr:rowOff>0</xdr:rowOff>
              </to>
            </anchor>
          </controlPr>
        </control>
      </mc:Choice>
      <mc:Fallback>
        <control shapeId="1037" r:id="rId6" name="ComboBox1"/>
      </mc:Fallback>
    </mc:AlternateContent>
    <mc:AlternateContent xmlns:mc="http://schemas.openxmlformats.org/markup-compatibility/2006">
      <mc:Choice Requires="x14">
        <control shapeId="1027" r:id="rId8" name="OptionButton1">
          <controlPr autoFill="0" autoLine="0" linkedCell="C4" r:id="rId9">
            <anchor moveWithCells="1">
              <from>
                <xdr:col>2</xdr:col>
                <xdr:colOff>0</xdr:colOff>
                <xdr:row>2</xdr:row>
                <xdr:rowOff>152400</xdr:rowOff>
              </from>
              <to>
                <xdr:col>3</xdr:col>
                <xdr:colOff>273050</xdr:colOff>
                <xdr:row>3</xdr:row>
                <xdr:rowOff>190500</xdr:rowOff>
              </to>
            </anchor>
          </controlPr>
        </control>
      </mc:Choice>
      <mc:Fallback>
        <control shapeId="1027" r:id="rId8" name="OptionButton1"/>
      </mc:Fallback>
    </mc:AlternateContent>
    <mc:AlternateContent xmlns:mc="http://schemas.openxmlformats.org/markup-compatibility/2006">
      <mc:Choice Requires="x14">
        <control shapeId="1028" r:id="rId10" name="OptionButton2">
          <controlPr autoFill="0" autoLine="0" linkedCell="D4" r:id="rId11">
            <anchor moveWithCells="1">
              <from>
                <xdr:col>3</xdr:col>
                <xdr:colOff>279400</xdr:colOff>
                <xdr:row>2</xdr:row>
                <xdr:rowOff>152400</xdr:rowOff>
              </from>
              <to>
                <xdr:col>4</xdr:col>
                <xdr:colOff>628650</xdr:colOff>
                <xdr:row>3</xdr:row>
                <xdr:rowOff>190500</xdr:rowOff>
              </to>
            </anchor>
          </controlPr>
        </control>
      </mc:Choice>
      <mc:Fallback>
        <control shapeId="1028" r:id="rId10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Hoja1</vt:lpstr>
      <vt:lpstr>Ahorro_máximo_anual</vt:lpstr>
      <vt:lpstr>Año</vt:lpstr>
      <vt:lpstr>Años_cotizados</vt:lpstr>
      <vt:lpstr>Años_edad_jubilación</vt:lpstr>
      <vt:lpstr>Base</vt:lpstr>
      <vt:lpstr>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Meneu Gaya</cp:lastModifiedBy>
  <dcterms:created xsi:type="dcterms:W3CDTF">2012-02-11T08:44:04Z</dcterms:created>
  <dcterms:modified xsi:type="dcterms:W3CDTF">2024-03-13T17:04:04Z</dcterms:modified>
</cp:coreProperties>
</file>