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rtables\Exe Learning\proyectos exelearning\img\"/>
    </mc:Choice>
  </mc:AlternateContent>
  <bookViews>
    <workbookView xWindow="-12" yWindow="-12" windowWidth="19176" windowHeight="6372"/>
  </bookViews>
  <sheets>
    <sheet name="Regresión Lineal Simple" sheetId="1" r:id="rId1"/>
    <sheet name="Resultados test" sheetId="3" r:id="rId2"/>
  </sheets>
  <calcPr calcId="152511"/>
</workbook>
</file>

<file path=xl/calcChain.xml><?xml version="1.0" encoding="utf-8"?>
<calcChain xmlns="http://schemas.openxmlformats.org/spreadsheetml/2006/main">
  <c r="F2" i="1" l="1"/>
  <c r="F17" i="1" s="1"/>
  <c r="G4" i="1" s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20" i="3"/>
  <c r="C17" i="3"/>
  <c r="C14" i="3"/>
  <c r="C11" i="3"/>
  <c r="C8" i="3"/>
  <c r="C5" i="3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N21" i="1"/>
  <c r="N2" i="1"/>
  <c r="N11" i="1" s="1"/>
  <c r="A102" i="1"/>
  <c r="M38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B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L102" i="1" l="1"/>
  <c r="G32" i="1"/>
  <c r="I32" i="1" s="1"/>
  <c r="G28" i="1"/>
  <c r="G20" i="1"/>
  <c r="G12" i="1"/>
  <c r="I12" i="1" s="1"/>
  <c r="G36" i="1"/>
  <c r="I36" i="1" s="1"/>
  <c r="G8" i="1"/>
  <c r="I8" i="1" s="1"/>
  <c r="N4" i="1"/>
  <c r="G24" i="1"/>
  <c r="G16" i="1"/>
  <c r="I16" i="1" s="1"/>
  <c r="I4" i="1"/>
  <c r="N3" i="1"/>
  <c r="N17" i="1"/>
  <c r="N7" i="1"/>
  <c r="N15" i="1"/>
  <c r="F18" i="1"/>
  <c r="N12" i="1"/>
  <c r="N8" i="1"/>
  <c r="N19" i="1"/>
  <c r="N20" i="1"/>
  <c r="N16" i="1"/>
  <c r="N5" i="1"/>
  <c r="I28" i="1"/>
  <c r="I24" i="1"/>
  <c r="G3" i="1"/>
  <c r="G7" i="1"/>
  <c r="G11" i="1"/>
  <c r="G15" i="1"/>
  <c r="G19" i="1"/>
  <c r="G23" i="1"/>
  <c r="G27" i="1"/>
  <c r="G31" i="1"/>
  <c r="G35" i="1"/>
  <c r="G2" i="1"/>
  <c r="G6" i="1"/>
  <c r="G10" i="1"/>
  <c r="G14" i="1"/>
  <c r="G18" i="1"/>
  <c r="G22" i="1"/>
  <c r="G26" i="1"/>
  <c r="G30" i="1"/>
  <c r="G34" i="1"/>
  <c r="G5" i="1"/>
  <c r="G9" i="1"/>
  <c r="G13" i="1"/>
  <c r="G17" i="1"/>
  <c r="G21" i="1"/>
  <c r="G25" i="1"/>
  <c r="G29" i="1"/>
  <c r="G33" i="1"/>
  <c r="G37" i="1"/>
  <c r="N6" i="1"/>
  <c r="N10" i="1"/>
  <c r="N14" i="1"/>
  <c r="N18" i="1"/>
  <c r="N9" i="1"/>
  <c r="N13" i="1"/>
  <c r="H9" i="1" l="1"/>
  <c r="J9" i="1" s="1"/>
  <c r="H5" i="1"/>
  <c r="H13" i="1"/>
  <c r="J13" i="1" s="1"/>
  <c r="H10" i="1"/>
  <c r="J10" i="1" s="1"/>
  <c r="I20" i="1"/>
  <c r="H21" i="1"/>
  <c r="J21" i="1" s="1"/>
  <c r="H28" i="1"/>
  <c r="H31" i="1"/>
  <c r="J31" i="1" s="1"/>
  <c r="H19" i="1"/>
  <c r="J19" i="1" s="1"/>
  <c r="H22" i="1"/>
  <c r="J22" i="1" s="1"/>
  <c r="H25" i="1"/>
  <c r="J25" i="1" s="1"/>
  <c r="H20" i="1"/>
  <c r="J20" i="1" s="1"/>
  <c r="H23" i="1"/>
  <c r="J23" i="1" s="1"/>
  <c r="H26" i="1"/>
  <c r="J26" i="1" s="1"/>
  <c r="H29" i="1"/>
  <c r="J29" i="1" s="1"/>
  <c r="H24" i="1"/>
  <c r="J24" i="1" s="1"/>
  <c r="H27" i="1"/>
  <c r="J27" i="1" s="1"/>
  <c r="H30" i="1"/>
  <c r="J30" i="1" s="1"/>
  <c r="H6" i="1"/>
  <c r="J6" i="1" s="1"/>
  <c r="H4" i="1"/>
  <c r="H14" i="1"/>
  <c r="J14" i="1" s="1"/>
  <c r="H17" i="1"/>
  <c r="J17" i="1" s="1"/>
  <c r="H33" i="1"/>
  <c r="J33" i="1" s="1"/>
  <c r="H11" i="1"/>
  <c r="J11" i="1" s="1"/>
  <c r="H15" i="1"/>
  <c r="J15" i="1" s="1"/>
  <c r="H18" i="1"/>
  <c r="J18" i="1" s="1"/>
  <c r="H34" i="1"/>
  <c r="J34" i="1" s="1"/>
  <c r="H37" i="1"/>
  <c r="J37" i="1" s="1"/>
  <c r="H3" i="1"/>
  <c r="J3" i="1" s="1"/>
  <c r="H8" i="1"/>
  <c r="H36" i="1"/>
  <c r="H2" i="1"/>
  <c r="J2" i="1" s="1"/>
  <c r="H7" i="1"/>
  <c r="J7" i="1" s="1"/>
  <c r="H12" i="1"/>
  <c r="H16" i="1"/>
  <c r="H32" i="1"/>
  <c r="H35" i="1"/>
  <c r="J35" i="1" s="1"/>
  <c r="I37" i="1"/>
  <c r="K37" i="1"/>
  <c r="I5" i="1"/>
  <c r="K5" i="1"/>
  <c r="I27" i="1"/>
  <c r="K11" i="1"/>
  <c r="I11" i="1"/>
  <c r="J5" i="1"/>
  <c r="I25" i="1"/>
  <c r="I9" i="1"/>
  <c r="K9" i="1"/>
  <c r="I26" i="1"/>
  <c r="I10" i="1"/>
  <c r="I31" i="1"/>
  <c r="I15" i="1"/>
  <c r="I22" i="1"/>
  <c r="K22" i="1"/>
  <c r="I33" i="1"/>
  <c r="I17" i="1"/>
  <c r="I34" i="1"/>
  <c r="I18" i="1"/>
  <c r="I2" i="1"/>
  <c r="G102" i="1"/>
  <c r="I23" i="1"/>
  <c r="I7" i="1"/>
  <c r="I21" i="1"/>
  <c r="K21" i="1"/>
  <c r="I6" i="1"/>
  <c r="I29" i="1"/>
  <c r="I13" i="1"/>
  <c r="I30" i="1"/>
  <c r="K30" i="1"/>
  <c r="I14" i="1"/>
  <c r="I35" i="1"/>
  <c r="I19" i="1"/>
  <c r="I3" i="1"/>
  <c r="K23" i="1" l="1"/>
  <c r="K19" i="1"/>
  <c r="K10" i="1"/>
  <c r="K29" i="1"/>
  <c r="K26" i="1"/>
  <c r="K25" i="1"/>
  <c r="K13" i="1"/>
  <c r="K18" i="1"/>
  <c r="K20" i="1"/>
  <c r="K3" i="1"/>
  <c r="K35" i="1"/>
  <c r="K2" i="1"/>
  <c r="K31" i="1"/>
  <c r="K24" i="1"/>
  <c r="J28" i="1"/>
  <c r="K28" i="1"/>
  <c r="K14" i="1"/>
  <c r="K17" i="1"/>
  <c r="K27" i="1"/>
  <c r="J12" i="1"/>
  <c r="K12" i="1"/>
  <c r="J36" i="1"/>
  <c r="K36" i="1"/>
  <c r="K6" i="1"/>
  <c r="J8" i="1"/>
  <c r="K8" i="1"/>
  <c r="K7" i="1"/>
  <c r="K34" i="1"/>
  <c r="K33" i="1"/>
  <c r="J32" i="1"/>
  <c r="K32" i="1"/>
  <c r="K15" i="1"/>
  <c r="H102" i="1"/>
  <c r="J16" i="1"/>
  <c r="K16" i="1"/>
  <c r="J4" i="1"/>
  <c r="K4" i="1"/>
  <c r="F19" i="1"/>
  <c r="I102" i="1"/>
  <c r="K102" i="1" l="1"/>
  <c r="F21" i="1"/>
  <c r="F5" i="1" s="1"/>
  <c r="J102" i="1"/>
  <c r="F20" i="1"/>
  <c r="F8" i="1" l="1"/>
  <c r="F9" i="1" s="1"/>
  <c r="F3" i="1"/>
  <c r="F7" i="1"/>
  <c r="F4" i="1" l="1"/>
  <c r="F24" i="1" s="1"/>
  <c r="F27" i="1" s="1"/>
  <c r="F10" i="1"/>
  <c r="F12" i="1" s="1"/>
  <c r="F14" i="1" s="1"/>
  <c r="F6" i="1"/>
  <c r="M2" i="1"/>
  <c r="M33" i="1"/>
  <c r="C33" i="1" s="1"/>
  <c r="D33" i="1" s="1"/>
  <c r="M29" i="1"/>
  <c r="C29" i="1" s="1"/>
  <c r="D29" i="1" s="1"/>
  <c r="M25" i="1"/>
  <c r="C25" i="1" s="1"/>
  <c r="D25" i="1" s="1"/>
  <c r="M21" i="1"/>
  <c r="C21" i="1" s="1"/>
  <c r="D21" i="1" s="1"/>
  <c r="M17" i="1"/>
  <c r="C17" i="1" s="1"/>
  <c r="D17" i="1" s="1"/>
  <c r="M13" i="1"/>
  <c r="C13" i="1" s="1"/>
  <c r="D13" i="1" s="1"/>
  <c r="M9" i="1"/>
  <c r="C9" i="1" s="1"/>
  <c r="D9" i="1" s="1"/>
  <c r="M5" i="1"/>
  <c r="C5" i="1" s="1"/>
  <c r="D5" i="1" s="1"/>
  <c r="O19" i="1"/>
  <c r="Q19" i="1" s="1"/>
  <c r="O15" i="1"/>
  <c r="Q15" i="1" s="1"/>
  <c r="M34" i="1"/>
  <c r="C34" i="1" s="1"/>
  <c r="D34" i="1" s="1"/>
  <c r="M30" i="1"/>
  <c r="C30" i="1" s="1"/>
  <c r="D30" i="1" s="1"/>
  <c r="M26" i="1"/>
  <c r="C26" i="1" s="1"/>
  <c r="D26" i="1" s="1"/>
  <c r="M22" i="1"/>
  <c r="C22" i="1" s="1"/>
  <c r="D22" i="1" s="1"/>
  <c r="M18" i="1"/>
  <c r="C18" i="1" s="1"/>
  <c r="D18" i="1" s="1"/>
  <c r="M14" i="1"/>
  <c r="C14" i="1" s="1"/>
  <c r="D14" i="1" s="1"/>
  <c r="M10" i="1"/>
  <c r="C10" i="1" s="1"/>
  <c r="D10" i="1" s="1"/>
  <c r="M6" i="1"/>
  <c r="C6" i="1" s="1"/>
  <c r="D6" i="1" s="1"/>
  <c r="O21" i="1"/>
  <c r="Q21" i="1" s="1"/>
  <c r="O20" i="1"/>
  <c r="P20" i="1" s="1"/>
  <c r="O16" i="1"/>
  <c r="Q16" i="1" s="1"/>
  <c r="O12" i="1"/>
  <c r="P12" i="1" s="1"/>
  <c r="O8" i="1"/>
  <c r="Q8" i="1" s="1"/>
  <c r="O4" i="1"/>
  <c r="Q4" i="1" s="1"/>
  <c r="M37" i="1"/>
  <c r="C37" i="1" s="1"/>
  <c r="D37" i="1" s="1"/>
  <c r="M35" i="1"/>
  <c r="C35" i="1" s="1"/>
  <c r="D35" i="1" s="1"/>
  <c r="M31" i="1"/>
  <c r="C31" i="1" s="1"/>
  <c r="D31" i="1" s="1"/>
  <c r="M27" i="1"/>
  <c r="C27" i="1" s="1"/>
  <c r="D27" i="1" s="1"/>
  <c r="M23" i="1"/>
  <c r="C23" i="1" s="1"/>
  <c r="D23" i="1" s="1"/>
  <c r="M19" i="1"/>
  <c r="C19" i="1" s="1"/>
  <c r="D19" i="1" s="1"/>
  <c r="M15" i="1"/>
  <c r="C15" i="1" s="1"/>
  <c r="D15" i="1" s="1"/>
  <c r="M11" i="1"/>
  <c r="C11" i="1" s="1"/>
  <c r="D11" i="1" s="1"/>
  <c r="M7" i="1"/>
  <c r="C7" i="1" s="1"/>
  <c r="D7" i="1" s="1"/>
  <c r="M3" i="1"/>
  <c r="C3" i="1" s="1"/>
  <c r="D3" i="1" s="1"/>
  <c r="O17" i="1"/>
  <c r="Q17" i="1" s="1"/>
  <c r="O13" i="1"/>
  <c r="Q13" i="1" s="1"/>
  <c r="O9" i="1"/>
  <c r="P9" i="1" s="1"/>
  <c r="O5" i="1"/>
  <c r="P5" i="1" s="1"/>
  <c r="O2" i="1"/>
  <c r="P2" i="1" s="1"/>
  <c r="M28" i="1"/>
  <c r="C28" i="1" s="1"/>
  <c r="D28" i="1" s="1"/>
  <c r="M12" i="1"/>
  <c r="C12" i="1" s="1"/>
  <c r="D12" i="1" s="1"/>
  <c r="O14" i="1"/>
  <c r="Q14" i="1" s="1"/>
  <c r="O6" i="1"/>
  <c r="P6" i="1" s="1"/>
  <c r="M36" i="1"/>
  <c r="C36" i="1" s="1"/>
  <c r="D36" i="1" s="1"/>
  <c r="M20" i="1"/>
  <c r="C20" i="1" s="1"/>
  <c r="D20" i="1" s="1"/>
  <c r="M4" i="1"/>
  <c r="C4" i="1" s="1"/>
  <c r="D4" i="1" s="1"/>
  <c r="M32" i="1"/>
  <c r="C32" i="1" s="1"/>
  <c r="D32" i="1" s="1"/>
  <c r="M16" i="1"/>
  <c r="C16" i="1" s="1"/>
  <c r="D16" i="1" s="1"/>
  <c r="O18" i="1"/>
  <c r="Q18" i="1" s="1"/>
  <c r="O11" i="1"/>
  <c r="P11" i="1" s="1"/>
  <c r="O3" i="1"/>
  <c r="Q3" i="1" s="1"/>
  <c r="O10" i="1"/>
  <c r="P10" i="1" s="1"/>
  <c r="F26" i="1"/>
  <c r="M24" i="1"/>
  <c r="C24" i="1" s="1"/>
  <c r="D24" i="1" s="1"/>
  <c r="M8" i="1"/>
  <c r="C8" i="1" s="1"/>
  <c r="D8" i="1" s="1"/>
  <c r="O7" i="1"/>
  <c r="Q7" i="1" s="1"/>
  <c r="F25" i="1"/>
  <c r="P15" i="1" l="1"/>
  <c r="P14" i="1"/>
  <c r="P4" i="1"/>
  <c r="P17" i="1"/>
  <c r="P7" i="1"/>
  <c r="Q20" i="1"/>
  <c r="Q10" i="1"/>
  <c r="Q5" i="1"/>
  <c r="Q11" i="1"/>
  <c r="Q2" i="1"/>
  <c r="P13" i="1"/>
  <c r="Q12" i="1"/>
  <c r="Q9" i="1"/>
  <c r="P16" i="1"/>
  <c r="P8" i="1"/>
  <c r="P3" i="1"/>
  <c r="P19" i="1"/>
  <c r="C2" i="1"/>
  <c r="D2" i="1" s="1"/>
  <c r="M102" i="1"/>
  <c r="F28" i="1"/>
  <c r="F29" i="1"/>
  <c r="P21" i="1"/>
  <c r="Q6" i="1"/>
  <c r="F15" i="1"/>
  <c r="F32" i="1" s="1"/>
  <c r="F34" i="1" s="1"/>
  <c r="P18" i="1"/>
  <c r="F33" i="1" l="1"/>
  <c r="F30" i="1"/>
  <c r="F31" i="1"/>
</calcChain>
</file>

<file path=xl/sharedStrings.xml><?xml version="1.0" encoding="utf-8"?>
<sst xmlns="http://schemas.openxmlformats.org/spreadsheetml/2006/main" count="79" uniqueCount="64">
  <si>
    <t>Sxx</t>
  </si>
  <si>
    <t>Syy</t>
  </si>
  <si>
    <t>Sxy</t>
  </si>
  <si>
    <t>resumen</t>
  </si>
  <si>
    <t>estadístico</t>
  </si>
  <si>
    <t>probabilidad (a)</t>
  </si>
  <si>
    <t>probabilidad (m)</t>
  </si>
  <si>
    <t>N =</t>
  </si>
  <si>
    <t>ord. origen (a) =</t>
  </si>
  <si>
    <t>pendiente (m) =</t>
  </si>
  <si>
    <t>r =</t>
  </si>
  <si>
    <t>Concentración, x =</t>
  </si>
  <si>
    <t>lím. inf. m =</t>
  </si>
  <si>
    <t>lím. sup. m =</t>
  </si>
  <si>
    <t>lím. sup. a =</t>
  </si>
  <si>
    <t>lím. inf. a =</t>
  </si>
  <si>
    <t>lím. sup. C =</t>
  </si>
  <si>
    <t>lím. inf. C =</t>
  </si>
  <si>
    <t>sumatorios=</t>
  </si>
  <si>
    <r>
      <t>x</t>
    </r>
    <r>
      <rPr>
        <b/>
        <vertAlign val="subscript"/>
        <sz val="10"/>
        <rFont val="Arial"/>
        <family val="2"/>
      </rPr>
      <t>i</t>
    </r>
  </si>
  <si>
    <r>
      <t>y</t>
    </r>
    <r>
      <rPr>
        <b/>
        <vertAlign val="subscript"/>
        <sz val="10"/>
        <rFont val="Arial"/>
        <family val="2"/>
      </rPr>
      <t>i</t>
    </r>
  </si>
  <si>
    <r>
      <t>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- x</t>
    </r>
    <r>
      <rPr>
        <b/>
        <vertAlign val="subscript"/>
        <sz val="10"/>
        <rFont val="Arial"/>
        <family val="2"/>
      </rPr>
      <t>media</t>
    </r>
  </si>
  <si>
    <r>
      <t>y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- y</t>
    </r>
    <r>
      <rPr>
        <b/>
        <vertAlign val="subscript"/>
        <sz val="10"/>
        <rFont val="Arial"/>
        <family val="2"/>
      </rPr>
      <t>media</t>
    </r>
  </si>
  <si>
    <r>
      <t>(x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- x</t>
    </r>
    <r>
      <rPr>
        <b/>
        <vertAlign val="subscript"/>
        <sz val="10"/>
        <rFont val="Arial"/>
        <family val="2"/>
      </rPr>
      <t>media</t>
    </r>
    <r>
      <rPr>
        <b/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2</t>
    </r>
  </si>
  <si>
    <r>
      <t>(y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- y</t>
    </r>
    <r>
      <rPr>
        <b/>
        <vertAlign val="subscript"/>
        <sz val="10"/>
        <rFont val="Arial"/>
        <family val="2"/>
      </rPr>
      <t>media</t>
    </r>
    <r>
      <rPr>
        <b/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2</t>
    </r>
  </si>
  <si>
    <r>
      <t>(x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-x</t>
    </r>
    <r>
      <rPr>
        <b/>
        <vertAlign val="subscript"/>
        <sz val="10"/>
        <rFont val="Arial"/>
        <family val="2"/>
      </rPr>
      <t>media</t>
    </r>
    <r>
      <rPr>
        <b/>
        <sz val="10"/>
        <rFont val="Arial"/>
        <family val="2"/>
      </rPr>
      <t>)·(y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-y</t>
    </r>
    <r>
      <rPr>
        <b/>
        <vertAlign val="subscript"/>
        <sz val="10"/>
        <rFont val="Arial"/>
        <family val="2"/>
      </rPr>
      <t>media</t>
    </r>
    <r>
      <rPr>
        <b/>
        <sz val="10"/>
        <rFont val="Arial"/>
        <family val="2"/>
      </rPr>
      <t>)</t>
    </r>
  </si>
  <si>
    <r>
      <t>x</t>
    </r>
    <r>
      <rPr>
        <b/>
        <vertAlign val="subscript"/>
        <sz val="10"/>
        <rFont val="Arial"/>
        <family val="2"/>
      </rPr>
      <t>i</t>
    </r>
    <r>
      <rPr>
        <b/>
        <vertAlign val="superscript"/>
        <sz val="10"/>
        <rFont val="Arial"/>
        <family val="2"/>
      </rPr>
      <t>2</t>
    </r>
  </si>
  <si>
    <r>
      <t>residual, e</t>
    </r>
    <r>
      <rPr>
        <b/>
        <vertAlign val="subscript"/>
        <sz val="10"/>
        <rFont val="Arial"/>
        <family val="2"/>
      </rPr>
      <t>i</t>
    </r>
  </si>
  <si>
    <r>
      <t>x</t>
    </r>
    <r>
      <rPr>
        <b/>
        <vertAlign val="subscript"/>
        <sz val="10"/>
        <rFont val="Arial"/>
        <family val="2"/>
      </rPr>
      <t>j</t>
    </r>
  </si>
  <si>
    <r>
      <t>y</t>
    </r>
    <r>
      <rPr>
        <b/>
        <vertAlign val="subscript"/>
        <sz val="10"/>
        <rFont val="Arial"/>
        <family val="2"/>
      </rPr>
      <t>j</t>
    </r>
  </si>
  <si>
    <r>
      <t>s</t>
    </r>
    <r>
      <rPr>
        <b/>
        <i/>
        <vertAlign val="subscript"/>
        <sz val="10"/>
        <rFont val="Arial"/>
        <family val="2"/>
      </rPr>
      <t>a</t>
    </r>
    <r>
      <rPr>
        <b/>
        <i/>
        <sz val="10"/>
        <rFont val="Arial"/>
        <family val="2"/>
      </rPr>
      <t xml:space="preserve"> =</t>
    </r>
  </si>
  <si>
    <r>
      <t>s</t>
    </r>
    <r>
      <rPr>
        <b/>
        <i/>
        <vertAlign val="subscript"/>
        <sz val="10"/>
        <rFont val="Arial"/>
        <family val="2"/>
      </rPr>
      <t>m</t>
    </r>
    <r>
      <rPr>
        <b/>
        <i/>
        <sz val="10"/>
        <rFont val="Arial"/>
        <family val="2"/>
      </rPr>
      <t xml:space="preserve"> =</t>
    </r>
  </si>
  <si>
    <r>
      <t>s</t>
    </r>
    <r>
      <rPr>
        <b/>
        <i/>
        <vertAlign val="subscript"/>
        <sz val="10"/>
        <rFont val="Arial"/>
        <family val="2"/>
      </rPr>
      <t>y/x</t>
    </r>
    <r>
      <rPr>
        <b/>
        <i/>
        <sz val="10"/>
        <rFont val="Arial"/>
        <family val="2"/>
      </rPr>
      <t xml:space="preserve"> =</t>
    </r>
  </si>
  <si>
    <r>
      <t>r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=</t>
    </r>
  </si>
  <si>
    <r>
      <t>Señal media, y</t>
    </r>
    <r>
      <rPr>
        <b/>
        <i/>
        <vertAlign val="subscript"/>
        <sz val="10"/>
        <rFont val="Arial"/>
        <family val="2"/>
      </rPr>
      <t>0</t>
    </r>
    <r>
      <rPr>
        <b/>
        <i/>
        <sz val="10"/>
        <rFont val="Arial"/>
        <family val="2"/>
      </rPr>
      <t xml:space="preserve"> =</t>
    </r>
  </si>
  <si>
    <r>
      <t>N</t>
    </r>
    <r>
      <rPr>
        <b/>
        <i/>
        <vertAlign val="superscript"/>
        <sz val="10"/>
        <rFont val="Arial"/>
        <family val="2"/>
      </rPr>
      <t>o</t>
    </r>
    <r>
      <rPr>
        <b/>
        <i/>
        <sz val="10"/>
        <rFont val="Arial"/>
        <family val="2"/>
      </rPr>
      <t xml:space="preserve"> réplicas =</t>
    </r>
  </si>
  <si>
    <r>
      <t>s</t>
    </r>
    <r>
      <rPr>
        <b/>
        <i/>
        <vertAlign val="subscript"/>
        <sz val="10"/>
        <rFont val="Arial"/>
        <family val="2"/>
      </rPr>
      <t>C</t>
    </r>
    <r>
      <rPr>
        <b/>
        <i/>
        <sz val="10"/>
        <rFont val="Arial"/>
        <family val="2"/>
      </rPr>
      <t xml:space="preserve"> =</t>
    </r>
  </si>
  <si>
    <r>
      <t>x</t>
    </r>
    <r>
      <rPr>
        <b/>
        <i/>
        <vertAlign val="subscript"/>
        <sz val="10"/>
        <rFont val="Arial"/>
        <family val="2"/>
      </rPr>
      <t>media</t>
    </r>
    <r>
      <rPr>
        <b/>
        <i/>
        <sz val="10"/>
        <rFont val="Arial"/>
        <family val="2"/>
      </rPr>
      <t xml:space="preserve"> =</t>
    </r>
  </si>
  <si>
    <r>
      <t>y</t>
    </r>
    <r>
      <rPr>
        <b/>
        <i/>
        <vertAlign val="subscript"/>
        <sz val="10"/>
        <rFont val="Arial"/>
        <family val="2"/>
      </rPr>
      <t>media</t>
    </r>
    <r>
      <rPr>
        <b/>
        <i/>
        <sz val="10"/>
        <rFont val="Arial"/>
        <family val="2"/>
      </rPr>
      <t xml:space="preserve"> =</t>
    </r>
  </si>
  <si>
    <r>
      <t>y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+t·sy</t>
    </r>
    <r>
      <rPr>
        <b/>
        <vertAlign val="subscript"/>
        <sz val="10"/>
        <rFont val="Arial"/>
        <family val="2"/>
      </rPr>
      <t>j</t>
    </r>
  </si>
  <si>
    <r>
      <t>y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-t·sy</t>
    </r>
    <r>
      <rPr>
        <b/>
        <vertAlign val="subscript"/>
        <sz val="10"/>
        <rFont val="Arial"/>
        <family val="2"/>
      </rPr>
      <t>j</t>
    </r>
  </si>
  <si>
    <r>
      <t>t(P%)*s</t>
    </r>
    <r>
      <rPr>
        <b/>
        <i/>
        <vertAlign val="subscript"/>
        <sz val="10"/>
        <rFont val="Arial"/>
        <family val="2"/>
      </rPr>
      <t>a</t>
    </r>
  </si>
  <si>
    <t>Nivel de prob. (P%) =</t>
  </si>
  <si>
    <r>
      <t>t(P%)*s</t>
    </r>
    <r>
      <rPr>
        <b/>
        <i/>
        <vertAlign val="subscript"/>
        <sz val="10"/>
        <rFont val="Arial"/>
        <family val="2"/>
      </rPr>
      <t>m</t>
    </r>
  </si>
  <si>
    <r>
      <t>t(P%)*s</t>
    </r>
    <r>
      <rPr>
        <b/>
        <i/>
        <vertAlign val="subscript"/>
        <sz val="10"/>
        <rFont val="Arial"/>
        <family val="2"/>
      </rPr>
      <t>C</t>
    </r>
  </si>
  <si>
    <t>LOD (estimado) =</t>
  </si>
  <si>
    <t>Parámetro</t>
  </si>
  <si>
    <t>a</t>
  </si>
  <si>
    <t>certificado</t>
  </si>
  <si>
    <t>calculado</t>
  </si>
  <si>
    <t>%Er</t>
  </si>
  <si>
    <t>s(a)</t>
  </si>
  <si>
    <t>m</t>
  </si>
  <si>
    <t>s(m)</t>
  </si>
  <si>
    <r>
      <t>s</t>
    </r>
    <r>
      <rPr>
        <b/>
        <vertAlign val="subscript"/>
        <sz val="10"/>
        <rFont val="Arial"/>
        <family val="2"/>
      </rPr>
      <t>y/x</t>
    </r>
  </si>
  <si>
    <r>
      <t>r</t>
    </r>
    <r>
      <rPr>
        <b/>
        <vertAlign val="superscript"/>
        <sz val="10"/>
        <rFont val="Arial"/>
        <family val="2"/>
      </rPr>
      <t>2</t>
    </r>
  </si>
  <si>
    <t>NIST/ITL StRD</t>
  </si>
  <si>
    <t>Dataset Name:  Norris (Norris.dat)</t>
  </si>
  <si>
    <t>http://www.itl.nist.gov/div898/strd/lls/data/Norris.shtml</t>
  </si>
  <si>
    <t>Dept. Qca. Analítica</t>
  </si>
  <si>
    <t xml:space="preserve"> Universitat de València</t>
  </si>
  <si>
    <t xml:space="preserve">Jorge Verdú </t>
  </si>
  <si>
    <r>
      <t>e</t>
    </r>
    <r>
      <rPr>
        <b/>
        <vertAlign val="subscript"/>
        <sz val="10"/>
        <rFont val="Arial"/>
        <family val="2"/>
      </rPr>
      <t>i</t>
    </r>
  </si>
  <si>
    <r>
      <t>e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/var(e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</si>
</sst>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0000"/>
  </numFmts>
  <fonts count="9" x14ac:knownFonts="1">
    <font>
      <sz val="10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b/>
      <i/>
      <vertAlign val="sub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4" borderId="3" xfId="0" applyNumberFormat="1" applyFont="1" applyFill="1" applyBorder="1" applyAlignment="1">
      <alignment horizontal="right"/>
    </xf>
    <xf numFmtId="0" fontId="0" fillId="4" borderId="1" xfId="0" applyNumberFormat="1" applyFill="1" applyBorder="1"/>
    <xf numFmtId="0" fontId="7" fillId="5" borderId="1" xfId="0" applyNumberFormat="1" applyFont="1" applyFill="1" applyBorder="1"/>
    <xf numFmtId="0" fontId="4" fillId="6" borderId="4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right"/>
    </xf>
    <xf numFmtId="0" fontId="0" fillId="6" borderId="1" xfId="0" applyNumberFormat="1" applyFill="1" applyBorder="1"/>
    <xf numFmtId="0" fontId="4" fillId="0" borderId="0" xfId="0" applyFont="1"/>
    <xf numFmtId="0" fontId="0" fillId="0" borderId="0" xfId="0" applyNumberFormat="1"/>
    <xf numFmtId="0" fontId="0" fillId="7" borderId="1" xfId="0" applyNumberFormat="1" applyFill="1" applyBorder="1"/>
    <xf numFmtId="0" fontId="0" fillId="0" borderId="1" xfId="0" applyNumberFormat="1" applyFill="1" applyBorder="1"/>
    <xf numFmtId="0" fontId="0" fillId="7" borderId="5" xfId="0" applyNumberFormat="1" applyFill="1" applyBorder="1"/>
    <xf numFmtId="0" fontId="0" fillId="7" borderId="6" xfId="0" applyNumberFormat="1" applyFill="1" applyBorder="1"/>
    <xf numFmtId="0" fontId="0" fillId="7" borderId="7" xfId="0" applyNumberFormat="1" applyFill="1" applyBorder="1"/>
    <xf numFmtId="164" fontId="4" fillId="0" borderId="0" xfId="0" applyNumberFormat="1" applyFont="1"/>
    <xf numFmtId="164" fontId="4" fillId="7" borderId="3" xfId="0" applyNumberFormat="1" applyFont="1" applyFill="1" applyBorder="1" applyAlignment="1">
      <alignment horizontal="right"/>
    </xf>
    <xf numFmtId="164" fontId="4" fillId="7" borderId="8" xfId="0" applyNumberFormat="1" applyFont="1" applyFill="1" applyBorder="1" applyAlignment="1">
      <alignment horizontal="right"/>
    </xf>
    <xf numFmtId="0" fontId="4" fillId="7" borderId="4" xfId="0" applyFont="1" applyFill="1" applyBorder="1" applyAlignment="1">
      <alignment horizontal="right"/>
    </xf>
    <xf numFmtId="0" fontId="0" fillId="8" borderId="1" xfId="0" applyNumberFormat="1" applyFill="1" applyBorder="1" applyProtection="1">
      <protection locked="0"/>
    </xf>
    <xf numFmtId="0" fontId="0" fillId="9" borderId="5" xfId="0" applyNumberFormat="1" applyFill="1" applyBorder="1" applyProtection="1">
      <protection locked="0"/>
    </xf>
    <xf numFmtId="0" fontId="0" fillId="9" borderId="1" xfId="0" applyNumberFormat="1" applyFill="1" applyBorder="1" applyProtection="1">
      <protection locked="0"/>
    </xf>
    <xf numFmtId="0" fontId="0" fillId="10" borderId="9" xfId="0" applyNumberFormat="1" applyFill="1" applyBorder="1" applyProtection="1">
      <protection locked="0"/>
    </xf>
    <xf numFmtId="0" fontId="7" fillId="0" borderId="10" xfId="0" applyNumberFormat="1" applyFont="1" applyFill="1" applyBorder="1"/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right"/>
    </xf>
    <xf numFmtId="11" fontId="0" fillId="0" borderId="0" xfId="0" applyNumberFormat="1"/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/>
    <xf numFmtId="164" fontId="4" fillId="5" borderId="3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0" fontId="4" fillId="7" borderId="3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4" fontId="4" fillId="7" borderId="12" xfId="0" applyNumberFormat="1" applyFont="1" applyFill="1" applyBorder="1" applyAlignment="1">
      <alignment horizontal="right"/>
    </xf>
    <xf numFmtId="164" fontId="4" fillId="7" borderId="4" xfId="0" applyNumberFormat="1" applyFont="1" applyFill="1" applyBorder="1" applyAlignment="1">
      <alignment horizontal="right"/>
    </xf>
    <xf numFmtId="164" fontId="4" fillId="7" borderId="13" xfId="0" applyNumberFormat="1" applyFont="1" applyFill="1" applyBorder="1" applyAlignment="1">
      <alignment horizontal="right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right"/>
    </xf>
    <xf numFmtId="0" fontId="0" fillId="4" borderId="1" xfId="0" applyNumberFormat="1" applyFill="1" applyBorder="1" applyProtection="1"/>
    <xf numFmtId="0" fontId="0" fillId="0" borderId="0" xfId="0" applyProtection="1"/>
    <xf numFmtId="0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residuales</a:t>
            </a:r>
          </a:p>
        </c:rich>
      </c:tx>
      <c:layout>
        <c:manualLayout>
          <c:xMode val="edge"/>
          <c:yMode val="edge"/>
          <c:x val="0.47246520720492879"/>
          <c:y val="0.8958624336862343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4221447219785E-2"/>
          <c:y val="0.18403375575724973"/>
          <c:w val="0.88865664283209944"/>
          <c:h val="0.7048840079004092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'Regresión Lineal Simple'!$A$2:$A$101</c:f>
              <c:numCache>
                <c:formatCode>General</c:formatCode>
                <c:ptCount val="100"/>
                <c:pt idx="0">
                  <c:v>0.2</c:v>
                </c:pt>
                <c:pt idx="1">
                  <c:v>337.4</c:v>
                </c:pt>
                <c:pt idx="2">
                  <c:v>118.2</c:v>
                </c:pt>
                <c:pt idx="3">
                  <c:v>884.6</c:v>
                </c:pt>
                <c:pt idx="4">
                  <c:v>10.1</c:v>
                </c:pt>
                <c:pt idx="5">
                  <c:v>226.5</c:v>
                </c:pt>
                <c:pt idx="6">
                  <c:v>666.3</c:v>
                </c:pt>
                <c:pt idx="7">
                  <c:v>996.3</c:v>
                </c:pt>
                <c:pt idx="8">
                  <c:v>448.6</c:v>
                </c:pt>
                <c:pt idx="9">
                  <c:v>777</c:v>
                </c:pt>
                <c:pt idx="10">
                  <c:v>558.20000000000005</c:v>
                </c:pt>
                <c:pt idx="11">
                  <c:v>0.4</c:v>
                </c:pt>
                <c:pt idx="12">
                  <c:v>0.6</c:v>
                </c:pt>
                <c:pt idx="13">
                  <c:v>775.5</c:v>
                </c:pt>
                <c:pt idx="14">
                  <c:v>666.9</c:v>
                </c:pt>
                <c:pt idx="15">
                  <c:v>338</c:v>
                </c:pt>
                <c:pt idx="16">
                  <c:v>447.5</c:v>
                </c:pt>
                <c:pt idx="17">
                  <c:v>11.6</c:v>
                </c:pt>
                <c:pt idx="18">
                  <c:v>556</c:v>
                </c:pt>
                <c:pt idx="19">
                  <c:v>228.1</c:v>
                </c:pt>
                <c:pt idx="20">
                  <c:v>995.8</c:v>
                </c:pt>
                <c:pt idx="21">
                  <c:v>887.6</c:v>
                </c:pt>
                <c:pt idx="22">
                  <c:v>120.2</c:v>
                </c:pt>
                <c:pt idx="23">
                  <c:v>0.3</c:v>
                </c:pt>
                <c:pt idx="24">
                  <c:v>0.3</c:v>
                </c:pt>
                <c:pt idx="25">
                  <c:v>556.79999999999995</c:v>
                </c:pt>
                <c:pt idx="26">
                  <c:v>339.1</c:v>
                </c:pt>
                <c:pt idx="27">
                  <c:v>887.2</c:v>
                </c:pt>
                <c:pt idx="28">
                  <c:v>999</c:v>
                </c:pt>
                <c:pt idx="29">
                  <c:v>779</c:v>
                </c:pt>
                <c:pt idx="30">
                  <c:v>11.1</c:v>
                </c:pt>
                <c:pt idx="31">
                  <c:v>118.3</c:v>
                </c:pt>
                <c:pt idx="32">
                  <c:v>229.2</c:v>
                </c:pt>
                <c:pt idx="33">
                  <c:v>669.1</c:v>
                </c:pt>
                <c:pt idx="34">
                  <c:v>448.9</c:v>
                </c:pt>
                <c:pt idx="35">
                  <c:v>0.5</c:v>
                </c:pt>
              </c:numCache>
            </c:numRef>
          </c:xVal>
          <c:yVal>
            <c:numRef>
              <c:f>'Regresión Lineal Simple'!$M$2:$M$101</c:f>
              <c:numCache>
                <c:formatCode>General</c:formatCode>
                <c:ptCount val="100"/>
                <c:pt idx="0">
                  <c:v>0.16189971016989371</c:v>
                </c:pt>
                <c:pt idx="1">
                  <c:v>0.94810867367272067</c:v>
                </c:pt>
                <c:pt idx="2">
                  <c:v>-8.7884816243715136E-2</c:v>
                </c:pt>
                <c:pt idx="3">
                  <c:v>1.7897858528801862</c:v>
                </c:pt>
                <c:pt idx="4">
                  <c:v>-0.65905678823260416</c:v>
                </c:pt>
                <c:pt idx="5">
                  <c:v>1.3828637921410802</c:v>
                </c:pt>
                <c:pt idx="6">
                  <c:v>1.0518872267452934</c:v>
                </c:pt>
                <c:pt idx="7">
                  <c:v>0.35333727999545772</c:v>
                </c:pt>
                <c:pt idx="8">
                  <c:v>-0.18728149020182627</c:v>
                </c:pt>
                <c:pt idx="9">
                  <c:v>0.51755547188088258</c:v>
                </c:pt>
                <c:pt idx="10">
                  <c:v>8.0715254756341892E-2</c:v>
                </c:pt>
                <c:pt idx="11">
                  <c:v>0.16147634656580284</c:v>
                </c:pt>
                <c:pt idx="12">
                  <c:v>-0.238947017038288</c:v>
                </c:pt>
                <c:pt idx="13">
                  <c:v>1.2207306989117797</c:v>
                </c:pt>
                <c:pt idx="14">
                  <c:v>0.75061713593299828</c:v>
                </c:pt>
                <c:pt idx="15">
                  <c:v>0.84683858286047098</c:v>
                </c:pt>
                <c:pt idx="16">
                  <c:v>0.71504700962066181</c:v>
                </c:pt>
                <c:pt idx="17">
                  <c:v>-0.56223201526328381</c:v>
                </c:pt>
                <c:pt idx="18">
                  <c:v>0.78537225440140901</c:v>
                </c:pt>
                <c:pt idx="19">
                  <c:v>-2.0523116691606447E-2</c:v>
                </c:pt>
                <c:pt idx="20">
                  <c:v>0.35439568900574159</c:v>
                </c:pt>
                <c:pt idx="21">
                  <c:v>-0.41656460118133509</c:v>
                </c:pt>
                <c:pt idx="22">
                  <c:v>-0.59211845228462323</c:v>
                </c:pt>
                <c:pt idx="23">
                  <c:v>0.26168802836784827</c:v>
                </c:pt>
                <c:pt idx="24">
                  <c:v>0.56168802836784826</c:v>
                </c:pt>
                <c:pt idx="25">
                  <c:v>-0.11632120001479507</c:v>
                </c:pt>
                <c:pt idx="26">
                  <c:v>-0.25548991696206258</c:v>
                </c:pt>
                <c:pt idx="27">
                  <c:v>-0.81571787397319895</c:v>
                </c:pt>
                <c:pt idx="28">
                  <c:v>-2.3523781286598933</c:v>
                </c:pt>
                <c:pt idx="29">
                  <c:v>-1.4866781641600255</c:v>
                </c:pt>
                <c:pt idx="30">
                  <c:v>-0.66117360625305821</c:v>
                </c:pt>
                <c:pt idx="31">
                  <c:v>-0.68809649804575201</c:v>
                </c:pt>
                <c:pt idx="32">
                  <c:v>-0.52285161651411727</c:v>
                </c:pt>
                <c:pt idx="33">
                  <c:v>-1.8540398637120461</c:v>
                </c:pt>
                <c:pt idx="34">
                  <c:v>-0.38791653560792838</c:v>
                </c:pt>
                <c:pt idx="35">
                  <c:v>-3.8735335236242563E-2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728912"/>
        <c:axId val="222791984"/>
      </c:scatterChart>
      <c:valAx>
        <c:axId val="21972891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791984"/>
        <c:crosses val="max"/>
        <c:crossBetween val="midCat"/>
      </c:valAx>
      <c:valAx>
        <c:axId val="22279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9728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17249055060497E-2"/>
          <c:y val="7.0065952310820107E-2"/>
          <c:w val="0.85934738680201694"/>
          <c:h val="0.862023534490695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'Regresión Lineal Simple'!$A$2:$A$101</c:f>
              <c:numCache>
                <c:formatCode>General</c:formatCode>
                <c:ptCount val="100"/>
                <c:pt idx="0">
                  <c:v>0.2</c:v>
                </c:pt>
                <c:pt idx="1">
                  <c:v>337.4</c:v>
                </c:pt>
                <c:pt idx="2">
                  <c:v>118.2</c:v>
                </c:pt>
                <c:pt idx="3">
                  <c:v>884.6</c:v>
                </c:pt>
                <c:pt idx="4">
                  <c:v>10.1</c:v>
                </c:pt>
                <c:pt idx="5">
                  <c:v>226.5</c:v>
                </c:pt>
                <c:pt idx="6">
                  <c:v>666.3</c:v>
                </c:pt>
                <c:pt idx="7">
                  <c:v>996.3</c:v>
                </c:pt>
                <c:pt idx="8">
                  <c:v>448.6</c:v>
                </c:pt>
                <c:pt idx="9">
                  <c:v>777</c:v>
                </c:pt>
                <c:pt idx="10">
                  <c:v>558.20000000000005</c:v>
                </c:pt>
                <c:pt idx="11">
                  <c:v>0.4</c:v>
                </c:pt>
                <c:pt idx="12">
                  <c:v>0.6</c:v>
                </c:pt>
                <c:pt idx="13">
                  <c:v>775.5</c:v>
                </c:pt>
                <c:pt idx="14">
                  <c:v>666.9</c:v>
                </c:pt>
                <c:pt idx="15">
                  <c:v>338</c:v>
                </c:pt>
                <c:pt idx="16">
                  <c:v>447.5</c:v>
                </c:pt>
                <c:pt idx="17">
                  <c:v>11.6</c:v>
                </c:pt>
                <c:pt idx="18">
                  <c:v>556</c:v>
                </c:pt>
                <c:pt idx="19">
                  <c:v>228.1</c:v>
                </c:pt>
                <c:pt idx="20">
                  <c:v>995.8</c:v>
                </c:pt>
                <c:pt idx="21">
                  <c:v>887.6</c:v>
                </c:pt>
                <c:pt idx="22">
                  <c:v>120.2</c:v>
                </c:pt>
                <c:pt idx="23">
                  <c:v>0.3</c:v>
                </c:pt>
                <c:pt idx="24">
                  <c:v>0.3</c:v>
                </c:pt>
                <c:pt idx="25">
                  <c:v>556.79999999999995</c:v>
                </c:pt>
                <c:pt idx="26">
                  <c:v>339.1</c:v>
                </c:pt>
                <c:pt idx="27">
                  <c:v>887.2</c:v>
                </c:pt>
                <c:pt idx="28">
                  <c:v>999</c:v>
                </c:pt>
                <c:pt idx="29">
                  <c:v>779</c:v>
                </c:pt>
                <c:pt idx="30">
                  <c:v>11.1</c:v>
                </c:pt>
                <c:pt idx="31">
                  <c:v>118.3</c:v>
                </c:pt>
                <c:pt idx="32">
                  <c:v>229.2</c:v>
                </c:pt>
                <c:pt idx="33">
                  <c:v>669.1</c:v>
                </c:pt>
                <c:pt idx="34">
                  <c:v>448.9</c:v>
                </c:pt>
                <c:pt idx="35">
                  <c:v>0.5</c:v>
                </c:pt>
              </c:numCache>
            </c:numRef>
          </c:xVal>
          <c:yVal>
            <c:numRef>
              <c:f>'Regresión Lineal Simple'!$B$2:$B$101</c:f>
              <c:numCache>
                <c:formatCode>General</c:formatCode>
                <c:ptCount val="100"/>
                <c:pt idx="0">
                  <c:v>0.1</c:v>
                </c:pt>
                <c:pt idx="1">
                  <c:v>338.8</c:v>
                </c:pt>
                <c:pt idx="2">
                  <c:v>118.1</c:v>
                </c:pt>
                <c:pt idx="3">
                  <c:v>888</c:v>
                </c:pt>
                <c:pt idx="4">
                  <c:v>9.1999999999999993</c:v>
                </c:pt>
                <c:pt idx="5">
                  <c:v>228.1</c:v>
                </c:pt>
                <c:pt idx="6">
                  <c:v>668.5</c:v>
                </c:pt>
                <c:pt idx="7">
                  <c:v>998.5</c:v>
                </c:pt>
                <c:pt idx="8">
                  <c:v>449.1</c:v>
                </c:pt>
                <c:pt idx="9">
                  <c:v>778.9</c:v>
                </c:pt>
                <c:pt idx="10">
                  <c:v>559.20000000000005</c:v>
                </c:pt>
                <c:pt idx="11">
                  <c:v>0.3</c:v>
                </c:pt>
                <c:pt idx="12">
                  <c:v>0.1</c:v>
                </c:pt>
                <c:pt idx="13">
                  <c:v>778.1</c:v>
                </c:pt>
                <c:pt idx="14">
                  <c:v>668.8</c:v>
                </c:pt>
                <c:pt idx="15">
                  <c:v>339.3</c:v>
                </c:pt>
                <c:pt idx="16">
                  <c:v>448.9</c:v>
                </c:pt>
                <c:pt idx="17">
                  <c:v>10.8</c:v>
                </c:pt>
                <c:pt idx="18">
                  <c:v>557.70000000000005</c:v>
                </c:pt>
                <c:pt idx="19">
                  <c:v>228.3</c:v>
                </c:pt>
                <c:pt idx="20">
                  <c:v>998</c:v>
                </c:pt>
                <c:pt idx="21">
                  <c:v>888.8</c:v>
                </c:pt>
                <c:pt idx="22">
                  <c:v>119.6</c:v>
                </c:pt>
                <c:pt idx="23">
                  <c:v>0.3</c:v>
                </c:pt>
                <c:pt idx="24">
                  <c:v>0.6</c:v>
                </c:pt>
                <c:pt idx="25">
                  <c:v>557.6</c:v>
                </c:pt>
                <c:pt idx="26">
                  <c:v>339.3</c:v>
                </c:pt>
                <c:pt idx="27">
                  <c:v>888</c:v>
                </c:pt>
                <c:pt idx="28">
                  <c:v>998.5</c:v>
                </c:pt>
                <c:pt idx="29">
                  <c:v>778.9</c:v>
                </c:pt>
                <c:pt idx="30">
                  <c:v>10.199999999999999</c:v>
                </c:pt>
                <c:pt idx="31">
                  <c:v>117.6</c:v>
                </c:pt>
                <c:pt idx="32">
                  <c:v>228.9</c:v>
                </c:pt>
                <c:pt idx="33">
                  <c:v>668.4</c:v>
                </c:pt>
                <c:pt idx="34">
                  <c:v>449.2</c:v>
                </c:pt>
                <c:pt idx="35">
                  <c:v>0.2</c:v>
                </c:pt>
              </c:numCache>
            </c:numRef>
          </c:yVal>
          <c:smooth val="0"/>
        </c:ser>
        <c:ser>
          <c:idx val="3"/>
          <c:order val="1"/>
          <c:spPr>
            <a:ln w="19050">
              <a:noFill/>
            </a:ln>
          </c:spPr>
          <c:marker>
            <c:symbol val="diamond"/>
            <c:size val="8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'Regresión Lineal Simple'!$F$14</c:f>
              <c:numCache>
                <c:formatCode>General</c:formatCode>
                <c:ptCount val="1"/>
                <c:pt idx="0">
                  <c:v>2.648782198537567</c:v>
                </c:pt>
              </c:numCache>
            </c:numRef>
          </c:xVal>
          <c:yVal>
            <c:numRef>
              <c:f>'Regresión Lineal Simple'!$F$12</c:f>
              <c:numCache>
                <c:formatCode>General</c:formatCode>
                <c:ptCount val="1"/>
                <c:pt idx="0">
                  <c:v>2.3920661146537054</c:v>
                </c:pt>
              </c:numCache>
            </c:numRef>
          </c:yVal>
          <c:smooth val="0"/>
        </c:ser>
        <c:ser>
          <c:idx val="4"/>
          <c:order val="2"/>
          <c:spPr>
            <a:ln w="12700">
              <a:solidFill>
                <a:srgbClr val="003300"/>
              </a:solidFill>
              <a:prstDash val="sysDash"/>
            </a:ln>
          </c:spPr>
          <c:marker>
            <c:symbol val="none"/>
          </c:marker>
          <c:xVal>
            <c:numRef>
              <c:f>'Regresión Lineal Simple'!$N$2:$N$21</c:f>
              <c:numCache>
                <c:formatCode>General</c:formatCode>
                <c:ptCount val="20"/>
                <c:pt idx="0">
                  <c:v>0.2</c:v>
                </c:pt>
                <c:pt idx="1">
                  <c:v>50.14</c:v>
                </c:pt>
                <c:pt idx="2">
                  <c:v>100.08</c:v>
                </c:pt>
                <c:pt idx="3">
                  <c:v>150.01999999999998</c:v>
                </c:pt>
                <c:pt idx="4">
                  <c:v>199.95999999999998</c:v>
                </c:pt>
                <c:pt idx="5">
                  <c:v>249.89999999999998</c:v>
                </c:pt>
                <c:pt idx="6">
                  <c:v>299.83999999999997</c:v>
                </c:pt>
                <c:pt idx="7">
                  <c:v>349.78</c:v>
                </c:pt>
                <c:pt idx="8">
                  <c:v>399.71999999999997</c:v>
                </c:pt>
                <c:pt idx="9">
                  <c:v>449.65999999999991</c:v>
                </c:pt>
                <c:pt idx="10">
                  <c:v>499.59999999999997</c:v>
                </c:pt>
                <c:pt idx="11">
                  <c:v>549.54</c:v>
                </c:pt>
                <c:pt idx="12">
                  <c:v>599.48</c:v>
                </c:pt>
                <c:pt idx="13">
                  <c:v>649.42000000000007</c:v>
                </c:pt>
                <c:pt idx="14">
                  <c:v>699.36</c:v>
                </c:pt>
                <c:pt idx="15">
                  <c:v>749.30000000000007</c:v>
                </c:pt>
                <c:pt idx="16">
                  <c:v>799.24</c:v>
                </c:pt>
                <c:pt idx="17">
                  <c:v>849.18</c:v>
                </c:pt>
                <c:pt idx="18">
                  <c:v>899.11999999999989</c:v>
                </c:pt>
                <c:pt idx="19">
                  <c:v>999</c:v>
                </c:pt>
              </c:numCache>
            </c:numRef>
          </c:xVal>
          <c:yVal>
            <c:numRef>
              <c:f>'Regresión Lineal Simple'!$P$2:$P$21</c:f>
              <c:numCache>
                <c:formatCode>General</c:formatCode>
                <c:ptCount val="20"/>
                <c:pt idx="0">
                  <c:v>1.7973963678829423</c:v>
                </c:pt>
                <c:pt idx="1">
                  <c:v>51.835018757062215</c:v>
                </c:pt>
                <c:pt idx="2">
                  <c:v>101.87363769578744</c:v>
                </c:pt>
                <c:pt idx="3">
                  <c:v>151.9132647244401</c:v>
                </c:pt>
                <c:pt idx="4">
                  <c:v>201.95390988602557</c:v>
                </c:pt>
                <c:pt idx="5">
                  <c:v>251.9955816456644</c:v>
                </c:pt>
                <c:pt idx="6">
                  <c:v>302.03828682132973</c:v>
                </c:pt>
                <c:pt idx="7">
                  <c:v>352.08203052712383</c:v>
                </c:pt>
                <c:pt idx="8">
                  <c:v>402.12681613017935</c:v>
                </c:pt>
                <c:pt idx="9">
                  <c:v>452.17264522202413</c:v>
                </c:pt>
                <c:pt idx="10">
                  <c:v>502.21951760497507</c:v>
                </c:pt>
                <c:pt idx="11">
                  <c:v>552.26743129382987</c:v>
                </c:pt>
                <c:pt idx="12">
                  <c:v>602.3163825328262</c:v>
                </c:pt>
                <c:pt idx="13">
                  <c:v>652.36636582752669</c:v>
                </c:pt>
                <c:pt idx="14">
                  <c:v>702.41737399100828</c:v>
                </c:pt>
                <c:pt idx="15">
                  <c:v>752.46939820345415</c:v>
                </c:pt>
                <c:pt idx="16">
                  <c:v>802.52242808401627</c:v>
                </c:pt>
                <c:pt idx="17">
                  <c:v>852.57645177361587</c:v>
                </c:pt>
                <c:pt idx="18">
                  <c:v>902.63145602718873</c:v>
                </c:pt>
                <c:pt idx="19">
                  <c:v>1002.7443469227994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3300"/>
              </a:solidFill>
              <a:prstDash val="sysDash"/>
            </a:ln>
          </c:spPr>
          <c:marker>
            <c:symbol val="none"/>
          </c:marker>
          <c:xVal>
            <c:numRef>
              <c:f>'Regresión Lineal Simple'!$N$2:$N$21</c:f>
              <c:numCache>
                <c:formatCode>General</c:formatCode>
                <c:ptCount val="20"/>
                <c:pt idx="0">
                  <c:v>0.2</c:v>
                </c:pt>
                <c:pt idx="1">
                  <c:v>50.14</c:v>
                </c:pt>
                <c:pt idx="2">
                  <c:v>100.08</c:v>
                </c:pt>
                <c:pt idx="3">
                  <c:v>150.01999999999998</c:v>
                </c:pt>
                <c:pt idx="4">
                  <c:v>199.95999999999998</c:v>
                </c:pt>
                <c:pt idx="5">
                  <c:v>249.89999999999998</c:v>
                </c:pt>
                <c:pt idx="6">
                  <c:v>299.83999999999997</c:v>
                </c:pt>
                <c:pt idx="7">
                  <c:v>349.78</c:v>
                </c:pt>
                <c:pt idx="8">
                  <c:v>399.71999999999997</c:v>
                </c:pt>
                <c:pt idx="9">
                  <c:v>449.65999999999991</c:v>
                </c:pt>
                <c:pt idx="10">
                  <c:v>499.59999999999997</c:v>
                </c:pt>
                <c:pt idx="11">
                  <c:v>549.54</c:v>
                </c:pt>
                <c:pt idx="12">
                  <c:v>599.48</c:v>
                </c:pt>
                <c:pt idx="13">
                  <c:v>649.42000000000007</c:v>
                </c:pt>
                <c:pt idx="14">
                  <c:v>699.36</c:v>
                </c:pt>
                <c:pt idx="15">
                  <c:v>749.30000000000007</c:v>
                </c:pt>
                <c:pt idx="16">
                  <c:v>799.24</c:v>
                </c:pt>
                <c:pt idx="17">
                  <c:v>849.18</c:v>
                </c:pt>
                <c:pt idx="18">
                  <c:v>899.11999999999989</c:v>
                </c:pt>
                <c:pt idx="19">
                  <c:v>999</c:v>
                </c:pt>
              </c:numCache>
            </c:numRef>
          </c:xVal>
          <c:yVal>
            <c:numRef>
              <c:f>'Regresión Lineal Simple'!$Q$2:$Q$21</c:f>
              <c:numCache>
                <c:formatCode>General</c:formatCode>
                <c:ptCount val="20"/>
                <c:pt idx="0">
                  <c:v>-1.9211957882227297</c:v>
                </c:pt>
                <c:pt idx="1">
                  <c:v>48.132609606480969</c:v>
                </c:pt>
                <c:pt idx="2">
                  <c:v>98.185418451638725</c:v>
                </c:pt>
                <c:pt idx="3">
                  <c:v>148.23721920686901</c:v>
                </c:pt>
                <c:pt idx="4">
                  <c:v>198.28800182916652</c:v>
                </c:pt>
                <c:pt idx="5">
                  <c:v>248.33775785341061</c:v>
                </c:pt>
                <c:pt idx="6">
                  <c:v>298.38648046162825</c:v>
                </c:pt>
                <c:pt idx="7">
                  <c:v>348.43416453971713</c:v>
                </c:pt>
                <c:pt idx="8">
                  <c:v>398.48080672054459</c:v>
                </c:pt>
                <c:pt idx="9">
                  <c:v>448.52640541258268</c:v>
                </c:pt>
                <c:pt idx="10">
                  <c:v>498.57096081351483</c:v>
                </c:pt>
                <c:pt idx="11">
                  <c:v>548.61447490854277</c:v>
                </c:pt>
                <c:pt idx="12">
                  <c:v>598.65695145342977</c:v>
                </c:pt>
                <c:pt idx="13">
                  <c:v>648.69839594261214</c:v>
                </c:pt>
                <c:pt idx="14">
                  <c:v>698.73881556301342</c:v>
                </c:pt>
                <c:pt idx="15">
                  <c:v>748.77821913445086</c:v>
                </c:pt>
                <c:pt idx="16">
                  <c:v>798.81661703777161</c:v>
                </c:pt>
                <c:pt idx="17">
                  <c:v>848.85402113205487</c:v>
                </c:pt>
                <c:pt idx="18">
                  <c:v>898.89044466236487</c:v>
                </c:pt>
                <c:pt idx="19">
                  <c:v>998.96040933452036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95904"/>
        <c:axId val="222796464"/>
      </c:scatterChart>
      <c:valAx>
        <c:axId val="2227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796464"/>
        <c:crossesAt val="0"/>
        <c:crossBetween val="midCat"/>
      </c:valAx>
      <c:valAx>
        <c:axId val="22279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795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7951</xdr:colOff>
      <xdr:row>20</xdr:row>
      <xdr:rowOff>71562</xdr:rowOff>
    </xdr:from>
    <xdr:to>
      <xdr:col>16</xdr:col>
      <xdr:colOff>588397</xdr:colOff>
      <xdr:row>33</xdr:row>
      <xdr:rowOff>151075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7951</xdr:colOff>
      <xdr:row>0</xdr:row>
      <xdr:rowOff>7951</xdr:rowOff>
    </xdr:from>
    <xdr:to>
      <xdr:col>16</xdr:col>
      <xdr:colOff>588397</xdr:colOff>
      <xdr:row>21</xdr:row>
      <xdr:rowOff>71562</xdr:rowOff>
    </xdr:to>
    <xdr:graphicFrame macro="">
      <xdr:nvGraphicFramePr>
        <xdr:cNvPr id="10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zoomScaleNormal="95" workbookViewId="0"/>
  </sheetViews>
  <sheetFormatPr baseColWidth="10" defaultRowHeight="13.2" x14ac:dyDescent="0.25"/>
  <cols>
    <col min="1" max="2" width="11.44140625" style="13" customWidth="1"/>
    <col min="3" max="3" width="10.6640625" style="46" customWidth="1"/>
    <col min="4" max="4" width="9.5546875" style="46" bestFit="1" customWidth="1"/>
    <col min="5" max="5" width="20.5546875" customWidth="1"/>
    <col min="6" max="6" width="16.6640625" style="13" customWidth="1"/>
    <col min="7" max="17" width="8.6640625" customWidth="1"/>
  </cols>
  <sheetData>
    <row r="1" spans="1:17" s="5" customFormat="1" ht="16.8" x14ac:dyDescent="0.35">
      <c r="A1" s="1" t="s">
        <v>19</v>
      </c>
      <c r="B1" s="1" t="s">
        <v>20</v>
      </c>
      <c r="C1" s="42" t="s">
        <v>62</v>
      </c>
      <c r="D1" s="43" t="s">
        <v>63</v>
      </c>
      <c r="E1" s="2" t="s">
        <v>3</v>
      </c>
      <c r="F1" s="3" t="s">
        <v>4</v>
      </c>
      <c r="G1" s="28" t="s">
        <v>21</v>
      </c>
      <c r="H1" s="4" t="s">
        <v>22</v>
      </c>
      <c r="I1" s="4" t="s">
        <v>23</v>
      </c>
      <c r="J1" s="4" t="s">
        <v>24</v>
      </c>
      <c r="K1" s="4" t="s">
        <v>25</v>
      </c>
      <c r="L1" s="4" t="s">
        <v>26</v>
      </c>
      <c r="M1" s="29" t="s">
        <v>27</v>
      </c>
      <c r="N1" s="4" t="s">
        <v>28</v>
      </c>
      <c r="O1" s="4" t="s">
        <v>29</v>
      </c>
      <c r="P1" s="4" t="s">
        <v>39</v>
      </c>
      <c r="Q1" s="4" t="s">
        <v>40</v>
      </c>
    </row>
    <row r="2" spans="1:17" x14ac:dyDescent="0.25">
      <c r="A2" s="23">
        <v>0.2</v>
      </c>
      <c r="B2" s="23">
        <v>0.1</v>
      </c>
      <c r="C2" s="44">
        <f t="shared" ref="C2:C10" si="0">IF(ISBLANK(A2),"",M2)</f>
        <v>0.16189971016989371</v>
      </c>
      <c r="D2" s="44">
        <f>IF(ISBLANK(A2),"",C2/$F$7)</f>
        <v>0.18297962206415624</v>
      </c>
      <c r="E2" s="6" t="s">
        <v>7</v>
      </c>
      <c r="F2" s="7">
        <f>COUNT(A2:A101)</f>
        <v>36</v>
      </c>
      <c r="G2">
        <f>IF(ISBLANK(A2),0,A2-$F$17)</f>
        <v>-418.97777777777782</v>
      </c>
      <c r="H2">
        <f>IF(ISBLANK(B2),0,B2-$F$18)</f>
        <v>-419.70277777777778</v>
      </c>
      <c r="I2">
        <f t="shared" ref="I2:I33" si="1">IF(ISBLANK(A2),0,G2^2)</f>
        <v>175542.37827160498</v>
      </c>
      <c r="J2">
        <f t="shared" ref="J2:J33" si="2">IF(ISBLANK(B2),0,H2^2)</f>
        <v>176150.42167438273</v>
      </c>
      <c r="K2">
        <f>IF(ISBLANK(A2),0,G2*H2)</f>
        <v>175846.13716049385</v>
      </c>
      <c r="L2">
        <f>IF(ISBLANK(A2),0,A2^2)</f>
        <v>4.0000000000000008E-2</v>
      </c>
      <c r="M2">
        <f>IF(ISBLANK(A2),NA(),B2-($F$3+$F$5*A2))</f>
        <v>0.16189971016989371</v>
      </c>
      <c r="N2">
        <f>MIN(A2:A101)</f>
        <v>0.2</v>
      </c>
      <c r="O2">
        <f>$F$3+$F$5*N2</f>
        <v>-6.1899710169893707E-2</v>
      </c>
      <c r="P2">
        <f t="shared" ref="P2:P21" si="3">TINV(1-$F$23/100,$F$2-2)*$F$7*SQRT((1/$F$2)+(1/$F$13)+(N2-$F$17)^2/$F$19)+O2</f>
        <v>1.7973963678829423</v>
      </c>
      <c r="Q2">
        <f t="shared" ref="Q2:Q21" si="4">-TINV(1-$F$23/100,$F$2-2)*$F$7*SQRT((1/$F$2)+(1/$F$13)+(N2-$F$17)^2/$F$19)+O2</f>
        <v>-1.9211957882227297</v>
      </c>
    </row>
    <row r="3" spans="1:17" x14ac:dyDescent="0.25">
      <c r="A3" s="23">
        <v>337.4</v>
      </c>
      <c r="B3" s="23">
        <v>338.8</v>
      </c>
      <c r="C3" s="44">
        <f t="shared" si="0"/>
        <v>0.94810867367272067</v>
      </c>
      <c r="D3" s="44">
        <f t="shared" ref="D3:D66" si="5">IF(ISBLANK(A3),"",C3/$F$7)</f>
        <v>1.0715557588233622</v>
      </c>
      <c r="E3" s="6" t="s">
        <v>8</v>
      </c>
      <c r="F3" s="7">
        <f>F18-F5*F17</f>
        <v>-0.26232307377398456</v>
      </c>
      <c r="G3">
        <f t="shared" ref="G3:G66" si="6">IF(ISBLANK(A3),0,A3-$F$17)</f>
        <v>-81.777777777777828</v>
      </c>
      <c r="H3">
        <f t="shared" ref="H3:H66" si="7">IF(ISBLANK(B3),0,B3-$F$18)</f>
        <v>-81.002777777777794</v>
      </c>
      <c r="I3">
        <f t="shared" si="1"/>
        <v>6687.6049382716128</v>
      </c>
      <c r="J3">
        <f t="shared" si="2"/>
        <v>6561.4500077160519</v>
      </c>
      <c r="K3">
        <f t="shared" ref="K3:K66" si="8">IF(ISBLANK(A3),0,G3*H3)</f>
        <v>6624.2271604938323</v>
      </c>
      <c r="L3">
        <f t="shared" ref="L3:L66" si="9">IF(ISBLANK(A3),0,A3^2)</f>
        <v>113838.75999999998</v>
      </c>
      <c r="M3">
        <f t="shared" ref="M3:M66" si="10">IF(ISBLANK(A3),NA(),B3-($F$3+$F$5*A3))</f>
        <v>0.94810867367272067</v>
      </c>
      <c r="N3">
        <f>($N$21-$N$2)/20+$N$2</f>
        <v>50.14</v>
      </c>
      <c r="O3">
        <f t="shared" ref="O3:O21" si="11">$F$3+$F$5*N3</f>
        <v>49.983814181771592</v>
      </c>
      <c r="P3">
        <f t="shared" si="3"/>
        <v>51.835018757062215</v>
      </c>
      <c r="Q3">
        <f t="shared" si="4"/>
        <v>48.132609606480969</v>
      </c>
    </row>
    <row r="4" spans="1:17" ht="14.4" x14ac:dyDescent="0.3">
      <c r="A4" s="23">
        <v>118.2</v>
      </c>
      <c r="B4" s="23">
        <v>118.1</v>
      </c>
      <c r="C4" s="44">
        <f t="shared" si="0"/>
        <v>-8.7884816243715136E-2</v>
      </c>
      <c r="D4" s="44">
        <f t="shared" si="5"/>
        <v>-9.9327728533779705E-2</v>
      </c>
      <c r="E4" s="6" t="s">
        <v>30</v>
      </c>
      <c r="F4" s="7">
        <f>F7*SQRT(1/(F2-(SUM(A2:A101)^2)/SUM(L2:L101)))</f>
        <v>0.23281823430067644</v>
      </c>
      <c r="G4">
        <f t="shared" si="6"/>
        <v>-300.97777777777782</v>
      </c>
      <c r="H4">
        <f t="shared" si="7"/>
        <v>-301.70277777777778</v>
      </c>
      <c r="I4">
        <f t="shared" si="1"/>
        <v>90587.622716049402</v>
      </c>
      <c r="J4">
        <f t="shared" si="2"/>
        <v>91024.566118827162</v>
      </c>
      <c r="K4">
        <f t="shared" si="8"/>
        <v>90805.831604938285</v>
      </c>
      <c r="L4">
        <f t="shared" si="9"/>
        <v>13971.24</v>
      </c>
      <c r="M4">
        <f t="shared" si="10"/>
        <v>-8.7884816243715136E-2</v>
      </c>
      <c r="N4">
        <f>2*($N$21-$N$2)/20+$N$2</f>
        <v>100.08</v>
      </c>
      <c r="O4">
        <f t="shared" si="11"/>
        <v>100.02952807371308</v>
      </c>
      <c r="P4">
        <f t="shared" si="3"/>
        <v>101.87363769578744</v>
      </c>
      <c r="Q4">
        <f t="shared" si="4"/>
        <v>98.185418451638725</v>
      </c>
    </row>
    <row r="5" spans="1:17" x14ac:dyDescent="0.25">
      <c r="A5" s="23">
        <v>884.6</v>
      </c>
      <c r="B5" s="23">
        <v>888</v>
      </c>
      <c r="C5" s="44">
        <f t="shared" si="0"/>
        <v>1.7897858528801862</v>
      </c>
      <c r="D5" s="44">
        <f t="shared" si="5"/>
        <v>2.0228222681320753</v>
      </c>
      <c r="E5" s="6" t="s">
        <v>9</v>
      </c>
      <c r="F5" s="7">
        <f>F21/F19</f>
        <v>1.0021168180204543</v>
      </c>
      <c r="G5">
        <f t="shared" si="6"/>
        <v>465.42222222222222</v>
      </c>
      <c r="H5">
        <f t="shared" si="7"/>
        <v>468.19722222222219</v>
      </c>
      <c r="I5">
        <f t="shared" si="1"/>
        <v>216617.84493827159</v>
      </c>
      <c r="J5">
        <f t="shared" si="2"/>
        <v>219208.63889660491</v>
      </c>
      <c r="K5">
        <f t="shared" si="8"/>
        <v>217909.39160493825</v>
      </c>
      <c r="L5">
        <f t="shared" si="9"/>
        <v>782517.16</v>
      </c>
      <c r="M5">
        <f t="shared" si="10"/>
        <v>1.7897858528801862</v>
      </c>
      <c r="N5">
        <f>3*($N$21-$N$2)/20+$N$2</f>
        <v>150.01999999999998</v>
      </c>
      <c r="O5">
        <f t="shared" si="11"/>
        <v>150.07524196565456</v>
      </c>
      <c r="P5">
        <f t="shared" si="3"/>
        <v>151.9132647244401</v>
      </c>
      <c r="Q5">
        <f t="shared" si="4"/>
        <v>148.23721920686901</v>
      </c>
    </row>
    <row r="6" spans="1:17" ht="14.4" x14ac:dyDescent="0.3">
      <c r="A6" s="23">
        <v>10.1</v>
      </c>
      <c r="B6" s="23">
        <v>9.1999999999999993</v>
      </c>
      <c r="C6" s="44">
        <f t="shared" si="0"/>
        <v>-0.65905678823260416</v>
      </c>
      <c r="D6" s="44">
        <f t="shared" si="5"/>
        <v>-0.74486830089485723</v>
      </c>
      <c r="E6" s="6" t="s">
        <v>31</v>
      </c>
      <c r="F6" s="7">
        <f>SQRT(F7^2/F19)</f>
        <v>4.2979684819905806E-4</v>
      </c>
      <c r="G6">
        <f t="shared" si="6"/>
        <v>-409.07777777777778</v>
      </c>
      <c r="H6">
        <f t="shared" si="7"/>
        <v>-410.60277777777782</v>
      </c>
      <c r="I6">
        <f t="shared" si="1"/>
        <v>167344.62827160495</v>
      </c>
      <c r="J6">
        <f t="shared" si="2"/>
        <v>168594.64111882719</v>
      </c>
      <c r="K6">
        <f t="shared" si="8"/>
        <v>167968.47188271605</v>
      </c>
      <c r="L6">
        <f t="shared" si="9"/>
        <v>102.00999999999999</v>
      </c>
      <c r="M6">
        <f t="shared" si="10"/>
        <v>-0.65905678823260416</v>
      </c>
      <c r="N6">
        <f>4*($N$21-$N$2)/20+$N$2</f>
        <v>199.95999999999998</v>
      </c>
      <c r="O6">
        <f t="shared" si="11"/>
        <v>200.12095585759604</v>
      </c>
      <c r="P6">
        <f t="shared" si="3"/>
        <v>201.95390988602557</v>
      </c>
      <c r="Q6">
        <f t="shared" si="4"/>
        <v>198.28800182916652</v>
      </c>
    </row>
    <row r="7" spans="1:17" ht="14.4" x14ac:dyDescent="0.3">
      <c r="A7" s="23">
        <v>226.5</v>
      </c>
      <c r="B7" s="23">
        <v>228.1</v>
      </c>
      <c r="C7" s="44">
        <f t="shared" si="0"/>
        <v>1.3828637921410802</v>
      </c>
      <c r="D7" s="44">
        <f t="shared" si="5"/>
        <v>1.5629175233646244</v>
      </c>
      <c r="E7" s="6" t="s">
        <v>32</v>
      </c>
      <c r="F7" s="7">
        <f>SQRT((F20-F5^2*F19)/(F2-2))</f>
        <v>0.88479639614256334</v>
      </c>
      <c r="G7">
        <f t="shared" si="6"/>
        <v>-192.67777777777781</v>
      </c>
      <c r="H7">
        <f t="shared" si="7"/>
        <v>-191.70277777777781</v>
      </c>
      <c r="I7">
        <f t="shared" si="1"/>
        <v>37124.726049382727</v>
      </c>
      <c r="J7">
        <f t="shared" si="2"/>
        <v>36749.95500771606</v>
      </c>
      <c r="K7">
        <f t="shared" si="8"/>
        <v>36936.865216049395</v>
      </c>
      <c r="L7">
        <f t="shared" si="9"/>
        <v>51302.25</v>
      </c>
      <c r="M7">
        <f t="shared" si="10"/>
        <v>1.3828637921410802</v>
      </c>
      <c r="N7">
        <f>5*($N$21-$N$2)/20+$N$2</f>
        <v>249.89999999999998</v>
      </c>
      <c r="O7">
        <f t="shared" si="11"/>
        <v>250.1666697495375</v>
      </c>
      <c r="P7">
        <f t="shared" si="3"/>
        <v>251.9955816456644</v>
      </c>
      <c r="Q7">
        <f t="shared" si="4"/>
        <v>248.33775785341061</v>
      </c>
    </row>
    <row r="8" spans="1:17" x14ac:dyDescent="0.25">
      <c r="A8" s="23">
        <v>666.3</v>
      </c>
      <c r="B8" s="23">
        <v>668.5</v>
      </c>
      <c r="C8" s="44">
        <f t="shared" si="0"/>
        <v>1.0518872267452934</v>
      </c>
      <c r="D8" s="44">
        <f t="shared" si="5"/>
        <v>1.1888466446418566</v>
      </c>
      <c r="E8" s="6" t="s">
        <v>10</v>
      </c>
      <c r="F8" s="7">
        <f>F21/SQRT(F19*F20)</f>
        <v>0.9999968729369666</v>
      </c>
      <c r="G8">
        <f t="shared" si="6"/>
        <v>247.12222222222215</v>
      </c>
      <c r="H8">
        <f t="shared" si="7"/>
        <v>248.69722222222219</v>
      </c>
      <c r="I8">
        <f t="shared" si="1"/>
        <v>61069.392716049348</v>
      </c>
      <c r="J8">
        <f t="shared" si="2"/>
        <v>61850.308341049371</v>
      </c>
      <c r="K8">
        <f t="shared" si="8"/>
        <v>61458.610216049361</v>
      </c>
      <c r="L8">
        <f t="shared" si="9"/>
        <v>443955.68999999994</v>
      </c>
      <c r="M8">
        <f t="shared" si="10"/>
        <v>1.0518872267452934</v>
      </c>
      <c r="N8">
        <f>6*($N$21-$N$2)/20+$N$2</f>
        <v>299.83999999999997</v>
      </c>
      <c r="O8">
        <f t="shared" si="11"/>
        <v>300.21238364147899</v>
      </c>
      <c r="P8">
        <f t="shared" si="3"/>
        <v>302.03828682132973</v>
      </c>
      <c r="Q8">
        <f t="shared" si="4"/>
        <v>298.38648046162825</v>
      </c>
    </row>
    <row r="9" spans="1:17" ht="15.6" x14ac:dyDescent="0.25">
      <c r="A9" s="23">
        <v>996.3</v>
      </c>
      <c r="B9" s="23">
        <v>998.5</v>
      </c>
      <c r="C9" s="44">
        <f t="shared" si="0"/>
        <v>0.35333727999545772</v>
      </c>
      <c r="D9" s="44">
        <f t="shared" si="5"/>
        <v>0.39934303703755825</v>
      </c>
      <c r="E9" s="35" t="s">
        <v>33</v>
      </c>
      <c r="F9" s="8">
        <f>F8^2</f>
        <v>0.9999937458837117</v>
      </c>
      <c r="G9">
        <f t="shared" si="6"/>
        <v>577.12222222222215</v>
      </c>
      <c r="H9">
        <f t="shared" si="7"/>
        <v>578.69722222222219</v>
      </c>
      <c r="I9">
        <f t="shared" si="1"/>
        <v>333070.05938271596</v>
      </c>
      <c r="J9">
        <f t="shared" si="2"/>
        <v>334890.47500771604</v>
      </c>
      <c r="K9">
        <f t="shared" si="8"/>
        <v>333979.02688271599</v>
      </c>
      <c r="L9">
        <f t="shared" si="9"/>
        <v>992613.69</v>
      </c>
      <c r="M9">
        <f t="shared" si="10"/>
        <v>0.35333727999545772</v>
      </c>
      <c r="N9">
        <f>7*($N$21-$N$2)/20+$N$2</f>
        <v>349.78</v>
      </c>
      <c r="O9">
        <f t="shared" si="11"/>
        <v>350.25809753342048</v>
      </c>
      <c r="P9">
        <f t="shared" si="3"/>
        <v>352.08203052712383</v>
      </c>
      <c r="Q9">
        <f t="shared" si="4"/>
        <v>348.43416453971713</v>
      </c>
    </row>
    <row r="10" spans="1:17" x14ac:dyDescent="0.25">
      <c r="A10" s="23">
        <v>448.6</v>
      </c>
      <c r="B10" s="23">
        <v>449.1</v>
      </c>
      <c r="C10" s="44">
        <f t="shared" si="0"/>
        <v>-0.18728149020182627</v>
      </c>
      <c r="D10" s="44">
        <f t="shared" si="5"/>
        <v>-0.21166619915984652</v>
      </c>
      <c r="E10" s="35" t="s">
        <v>45</v>
      </c>
      <c r="F10" s="8">
        <f>3*F7/F5</f>
        <v>2.648782198537567</v>
      </c>
      <c r="G10">
        <f t="shared" si="6"/>
        <v>29.422222222222217</v>
      </c>
      <c r="H10">
        <f t="shared" si="7"/>
        <v>29.297222222222217</v>
      </c>
      <c r="I10">
        <f t="shared" si="1"/>
        <v>865.66716049382683</v>
      </c>
      <c r="J10">
        <f t="shared" si="2"/>
        <v>858.32722993827133</v>
      </c>
      <c r="K10">
        <f t="shared" si="8"/>
        <v>861.98938271604914</v>
      </c>
      <c r="L10">
        <f t="shared" si="9"/>
        <v>201241.96000000002</v>
      </c>
      <c r="M10">
        <f t="shared" si="10"/>
        <v>-0.18728149020182627</v>
      </c>
      <c r="N10">
        <f>8*($N$21-$N$2)/20+$N$2</f>
        <v>399.71999999999997</v>
      </c>
      <c r="O10">
        <f t="shared" si="11"/>
        <v>400.30381142536197</v>
      </c>
      <c r="P10">
        <f t="shared" si="3"/>
        <v>402.12681613017935</v>
      </c>
      <c r="Q10">
        <f t="shared" si="4"/>
        <v>398.48080672054459</v>
      </c>
    </row>
    <row r="11" spans="1:17" x14ac:dyDescent="0.25">
      <c r="A11" s="23">
        <v>777</v>
      </c>
      <c r="B11" s="23">
        <v>778.9</v>
      </c>
      <c r="C11" s="44">
        <f t="shared" ref="C11:C74" si="12">IF(ISBLANK(A11),"",M11)</f>
        <v>0.51755547188088258</v>
      </c>
      <c r="D11" s="44">
        <f t="shared" si="5"/>
        <v>0.5849430152939854</v>
      </c>
      <c r="E11" s="36"/>
      <c r="F11" s="27"/>
      <c r="G11">
        <f t="shared" si="6"/>
        <v>357.82222222222219</v>
      </c>
      <c r="H11">
        <f t="shared" si="7"/>
        <v>359.09722222222217</v>
      </c>
      <c r="I11">
        <f t="shared" si="1"/>
        <v>128036.74271604937</v>
      </c>
      <c r="J11">
        <f t="shared" si="2"/>
        <v>128950.81500771601</v>
      </c>
      <c r="K11">
        <f t="shared" si="8"/>
        <v>128492.96604938268</v>
      </c>
      <c r="L11">
        <f t="shared" si="9"/>
        <v>603729</v>
      </c>
      <c r="M11">
        <f t="shared" si="10"/>
        <v>0.51755547188088258</v>
      </c>
      <c r="N11">
        <f>9*($N$21-$N$2)/20+$N$2</f>
        <v>449.65999999999991</v>
      </c>
      <c r="O11">
        <f t="shared" si="11"/>
        <v>450.3495253173034</v>
      </c>
      <c r="P11">
        <f t="shared" si="3"/>
        <v>452.17264522202413</v>
      </c>
      <c r="Q11">
        <f t="shared" si="4"/>
        <v>448.52640541258268</v>
      </c>
    </row>
    <row r="12" spans="1:17" ht="14.4" x14ac:dyDescent="0.3">
      <c r="A12" s="23">
        <v>558.20000000000005</v>
      </c>
      <c r="B12" s="23">
        <v>559.20000000000005</v>
      </c>
      <c r="C12" s="44">
        <f t="shared" si="12"/>
        <v>8.0715254756341892E-2</v>
      </c>
      <c r="D12" s="44">
        <f t="shared" si="5"/>
        <v>9.1224664915267803E-2</v>
      </c>
      <c r="E12" s="9" t="s">
        <v>34</v>
      </c>
      <c r="F12" s="24">
        <f>F3+F5*F10</f>
        <v>2.3920661146537054</v>
      </c>
      <c r="G12">
        <f t="shared" si="6"/>
        <v>139.02222222222224</v>
      </c>
      <c r="H12">
        <f t="shared" si="7"/>
        <v>139.39722222222224</v>
      </c>
      <c r="I12">
        <f t="shared" si="1"/>
        <v>19327.178271604942</v>
      </c>
      <c r="J12">
        <f t="shared" si="2"/>
        <v>19431.585563271608</v>
      </c>
      <c r="K12">
        <f t="shared" si="8"/>
        <v>19379.311604938277</v>
      </c>
      <c r="L12">
        <f t="shared" si="9"/>
        <v>311587.24000000005</v>
      </c>
      <c r="M12">
        <f t="shared" si="10"/>
        <v>8.0715254756341892E-2</v>
      </c>
      <c r="N12">
        <f>10*($N$21-$N$2)/20+$N$2</f>
        <v>499.59999999999997</v>
      </c>
      <c r="O12">
        <f t="shared" si="11"/>
        <v>500.39523920924495</v>
      </c>
      <c r="P12">
        <f t="shared" si="3"/>
        <v>502.21951760497507</v>
      </c>
      <c r="Q12">
        <f t="shared" si="4"/>
        <v>498.57096081351483</v>
      </c>
    </row>
    <row r="13" spans="1:17" ht="15.6" x14ac:dyDescent="0.25">
      <c r="A13" s="23">
        <v>0.4</v>
      </c>
      <c r="B13" s="23">
        <v>0.3</v>
      </c>
      <c r="C13" s="44">
        <f t="shared" si="12"/>
        <v>0.16147634656580284</v>
      </c>
      <c r="D13" s="44">
        <f t="shared" si="5"/>
        <v>0.18250113502924448</v>
      </c>
      <c r="E13" s="10" t="s">
        <v>35</v>
      </c>
      <c r="F13" s="25">
        <v>1</v>
      </c>
      <c r="G13">
        <f t="shared" si="6"/>
        <v>-418.77777777777783</v>
      </c>
      <c r="H13">
        <f t="shared" si="7"/>
        <v>-419.50277777777779</v>
      </c>
      <c r="I13">
        <f t="shared" si="1"/>
        <v>175374.82716049388</v>
      </c>
      <c r="J13">
        <f t="shared" si="2"/>
        <v>175982.58056327162</v>
      </c>
      <c r="K13">
        <f t="shared" si="8"/>
        <v>175678.44104938273</v>
      </c>
      <c r="L13">
        <f t="shared" si="9"/>
        <v>0.16000000000000003</v>
      </c>
      <c r="M13">
        <f t="shared" si="10"/>
        <v>0.16147634656580284</v>
      </c>
      <c r="N13">
        <f>11*($N$21-$N$2)/20+$N$2</f>
        <v>549.54</v>
      </c>
      <c r="O13">
        <f t="shared" si="11"/>
        <v>550.44095310118632</v>
      </c>
      <c r="P13">
        <f t="shared" si="3"/>
        <v>552.26743129382987</v>
      </c>
      <c r="Q13">
        <f t="shared" si="4"/>
        <v>548.61447490854277</v>
      </c>
    </row>
    <row r="14" spans="1:17" x14ac:dyDescent="0.25">
      <c r="A14" s="23">
        <v>0.6</v>
      </c>
      <c r="B14" s="23">
        <v>0.1</v>
      </c>
      <c r="C14" s="44">
        <f t="shared" si="12"/>
        <v>-0.238947017038288</v>
      </c>
      <c r="D14" s="44">
        <f t="shared" si="5"/>
        <v>-0.2700587593711079</v>
      </c>
      <c r="E14" s="10" t="s">
        <v>11</v>
      </c>
      <c r="F14" s="11">
        <f>(F12-F3)/F5</f>
        <v>2.648782198537567</v>
      </c>
      <c r="G14">
        <f t="shared" si="6"/>
        <v>-418.57777777777778</v>
      </c>
      <c r="H14">
        <f t="shared" si="7"/>
        <v>-419.70277777777778</v>
      </c>
      <c r="I14">
        <f t="shared" si="1"/>
        <v>175207.35604938271</v>
      </c>
      <c r="J14">
        <f t="shared" si="2"/>
        <v>176150.42167438273</v>
      </c>
      <c r="K14">
        <f t="shared" si="8"/>
        <v>175678.25604938273</v>
      </c>
      <c r="L14">
        <f t="shared" si="9"/>
        <v>0.36</v>
      </c>
      <c r="M14">
        <f t="shared" si="10"/>
        <v>-0.238947017038288</v>
      </c>
      <c r="N14">
        <f>12*($N$21-$N$2)/20+$N$2</f>
        <v>599.48</v>
      </c>
      <c r="O14">
        <f t="shared" si="11"/>
        <v>600.48666699312798</v>
      </c>
      <c r="P14">
        <f t="shared" si="3"/>
        <v>602.3163825328262</v>
      </c>
      <c r="Q14">
        <f t="shared" si="4"/>
        <v>598.65695145342977</v>
      </c>
    </row>
    <row r="15" spans="1:17" ht="14.4" x14ac:dyDescent="0.3">
      <c r="A15" s="23">
        <v>775.5</v>
      </c>
      <c r="B15" s="23">
        <v>778.1</v>
      </c>
      <c r="C15" s="44">
        <f t="shared" si="12"/>
        <v>1.2207306989117797</v>
      </c>
      <c r="D15" s="44">
        <f t="shared" si="5"/>
        <v>1.3796741309455884</v>
      </c>
      <c r="E15" s="10" t="s">
        <v>36</v>
      </c>
      <c r="F15" s="11">
        <f>(F7/F5)*SQRT((1/F13)+(1/F2)+((F12-F18)^2/(F5^2*SUM(I2:I101))))</f>
        <v>0.91275910565952367</v>
      </c>
      <c r="G15">
        <f t="shared" si="6"/>
        <v>356.32222222222219</v>
      </c>
      <c r="H15">
        <f t="shared" si="7"/>
        <v>358.29722222222222</v>
      </c>
      <c r="I15">
        <f t="shared" si="1"/>
        <v>126965.52604938269</v>
      </c>
      <c r="J15">
        <f t="shared" si="2"/>
        <v>128376.89945216049</v>
      </c>
      <c r="K15">
        <f t="shared" si="8"/>
        <v>127669.26243827159</v>
      </c>
      <c r="L15">
        <f t="shared" si="9"/>
        <v>601400.25</v>
      </c>
      <c r="M15">
        <f t="shared" si="10"/>
        <v>1.2207306989117797</v>
      </c>
      <c r="N15">
        <f>13*($N$21-$N$2)/20+$N$2</f>
        <v>649.42000000000007</v>
      </c>
      <c r="O15">
        <f t="shared" si="11"/>
        <v>650.53238088506941</v>
      </c>
      <c r="P15">
        <f t="shared" si="3"/>
        <v>652.36636582752669</v>
      </c>
      <c r="Q15">
        <f t="shared" si="4"/>
        <v>648.69839594261214</v>
      </c>
    </row>
    <row r="16" spans="1:17" x14ac:dyDescent="0.25">
      <c r="A16" s="23">
        <v>666.9</v>
      </c>
      <c r="B16" s="23">
        <v>668.8</v>
      </c>
      <c r="C16" s="44">
        <f t="shared" si="12"/>
        <v>0.75061713593299828</v>
      </c>
      <c r="D16" s="44">
        <f t="shared" si="5"/>
        <v>0.84835012801301535</v>
      </c>
      <c r="E16" s="12"/>
      <c r="G16">
        <f t="shared" si="6"/>
        <v>247.72222222222217</v>
      </c>
      <c r="H16">
        <f t="shared" si="7"/>
        <v>248.99722222222215</v>
      </c>
      <c r="I16">
        <f t="shared" si="1"/>
        <v>61366.299382716024</v>
      </c>
      <c r="J16">
        <f t="shared" si="2"/>
        <v>61999.616674382676</v>
      </c>
      <c r="K16">
        <f t="shared" si="8"/>
        <v>61682.14521604935</v>
      </c>
      <c r="L16">
        <f t="shared" si="9"/>
        <v>444755.61</v>
      </c>
      <c r="M16">
        <f t="shared" si="10"/>
        <v>0.75061713593299828</v>
      </c>
      <c r="N16">
        <f>14*($N$21-$N$2)/20+$N$2</f>
        <v>699.36</v>
      </c>
      <c r="O16">
        <f t="shared" si="11"/>
        <v>700.57809477701085</v>
      </c>
      <c r="P16">
        <f t="shared" si="3"/>
        <v>702.41737399100828</v>
      </c>
      <c r="Q16">
        <f t="shared" si="4"/>
        <v>698.73881556301342</v>
      </c>
    </row>
    <row r="17" spans="1:17" ht="14.4" x14ac:dyDescent="0.3">
      <c r="A17" s="23">
        <v>338</v>
      </c>
      <c r="B17" s="23">
        <v>339.3</v>
      </c>
      <c r="C17" s="44">
        <f t="shared" si="12"/>
        <v>0.84683858286047098</v>
      </c>
      <c r="D17" s="44">
        <f t="shared" si="5"/>
        <v>0.95709994587729263</v>
      </c>
      <c r="E17" s="37" t="s">
        <v>37</v>
      </c>
      <c r="F17" s="14">
        <f>SUM(A2:A101)/F2</f>
        <v>419.17777777777781</v>
      </c>
      <c r="G17">
        <f t="shared" si="6"/>
        <v>-81.177777777777806</v>
      </c>
      <c r="H17">
        <f t="shared" si="7"/>
        <v>-80.502777777777794</v>
      </c>
      <c r="I17">
        <f t="shared" si="1"/>
        <v>6589.8316049382765</v>
      </c>
      <c r="J17">
        <f t="shared" si="2"/>
        <v>6480.6972299382742</v>
      </c>
      <c r="K17">
        <f t="shared" si="8"/>
        <v>6535.0366049382756</v>
      </c>
      <c r="L17">
        <f t="shared" si="9"/>
        <v>114244</v>
      </c>
      <c r="M17">
        <f t="shared" si="10"/>
        <v>0.84683858286047098</v>
      </c>
      <c r="N17">
        <f>15*($N$21-$N$2)/20+$N$2</f>
        <v>749.30000000000007</v>
      </c>
      <c r="O17">
        <f t="shared" si="11"/>
        <v>750.62380866895251</v>
      </c>
      <c r="P17">
        <f t="shared" si="3"/>
        <v>752.46939820345415</v>
      </c>
      <c r="Q17">
        <f t="shared" si="4"/>
        <v>748.77821913445086</v>
      </c>
    </row>
    <row r="18" spans="1:17" ht="14.4" x14ac:dyDescent="0.3">
      <c r="A18" s="23">
        <v>447.5</v>
      </c>
      <c r="B18" s="23">
        <v>448.9</v>
      </c>
      <c r="C18" s="44">
        <f t="shared" si="12"/>
        <v>0.71504700962066181</v>
      </c>
      <c r="D18" s="44">
        <f t="shared" si="5"/>
        <v>0.80814864610439652</v>
      </c>
      <c r="E18" s="37" t="s">
        <v>38</v>
      </c>
      <c r="F18" s="14">
        <f>SUM(B2:B101)/F2</f>
        <v>419.80277777777781</v>
      </c>
      <c r="G18">
        <f t="shared" si="6"/>
        <v>28.322222222222194</v>
      </c>
      <c r="H18">
        <f t="shared" si="7"/>
        <v>29.097222222222172</v>
      </c>
      <c r="I18">
        <f t="shared" si="1"/>
        <v>802.14827160493667</v>
      </c>
      <c r="J18">
        <f t="shared" si="2"/>
        <v>846.64834104937972</v>
      </c>
      <c r="K18">
        <f t="shared" si="8"/>
        <v>824.09799382715823</v>
      </c>
      <c r="L18">
        <f t="shared" si="9"/>
        <v>200256.25</v>
      </c>
      <c r="M18">
        <f t="shared" si="10"/>
        <v>0.71504700962066181</v>
      </c>
      <c r="N18">
        <f>16*($N$21-$N$2)/20+$N$2</f>
        <v>799.24</v>
      </c>
      <c r="O18">
        <f t="shared" si="11"/>
        <v>800.66952256089394</v>
      </c>
      <c r="P18">
        <f t="shared" si="3"/>
        <v>802.52242808401627</v>
      </c>
      <c r="Q18">
        <f t="shared" si="4"/>
        <v>798.81661703777161</v>
      </c>
    </row>
    <row r="19" spans="1:17" x14ac:dyDescent="0.25">
      <c r="A19" s="23">
        <v>11.6</v>
      </c>
      <c r="B19" s="23">
        <v>10.8</v>
      </c>
      <c r="C19" s="44">
        <f t="shared" si="12"/>
        <v>-0.56223201526328381</v>
      </c>
      <c r="D19" s="44">
        <f t="shared" si="5"/>
        <v>-0.63543660181533312</v>
      </c>
      <c r="E19" s="20" t="s">
        <v>0</v>
      </c>
      <c r="F19" s="14">
        <f>SUM(I2:I101)</f>
        <v>4237993.0222222218</v>
      </c>
      <c r="G19">
        <f t="shared" si="6"/>
        <v>-407.57777777777778</v>
      </c>
      <c r="H19">
        <f t="shared" si="7"/>
        <v>-409.00277777777779</v>
      </c>
      <c r="I19">
        <f t="shared" si="1"/>
        <v>166119.64493827161</v>
      </c>
      <c r="J19">
        <f t="shared" si="2"/>
        <v>167283.27222993827</v>
      </c>
      <c r="K19">
        <f t="shared" si="8"/>
        <v>166700.44327160495</v>
      </c>
      <c r="L19">
        <f t="shared" si="9"/>
        <v>134.56</v>
      </c>
      <c r="M19">
        <f t="shared" si="10"/>
        <v>-0.56223201526328381</v>
      </c>
      <c r="N19">
        <f>17*($N$21-$N$2)/20+$N$2</f>
        <v>849.18</v>
      </c>
      <c r="O19">
        <f t="shared" si="11"/>
        <v>850.71523645283537</v>
      </c>
      <c r="P19">
        <f t="shared" si="3"/>
        <v>852.57645177361587</v>
      </c>
      <c r="Q19">
        <f t="shared" si="4"/>
        <v>848.85402113205487</v>
      </c>
    </row>
    <row r="20" spans="1:17" x14ac:dyDescent="0.25">
      <c r="A20" s="23">
        <v>556</v>
      </c>
      <c r="B20" s="23">
        <v>557.70000000000005</v>
      </c>
      <c r="C20" s="44">
        <f t="shared" si="12"/>
        <v>0.78537225440140901</v>
      </c>
      <c r="D20" s="44">
        <f t="shared" si="5"/>
        <v>0.88763048518889476</v>
      </c>
      <c r="E20" s="20" t="s">
        <v>1</v>
      </c>
      <c r="F20" s="14">
        <f>SUM(J2:J101)</f>
        <v>4255980.7497222209</v>
      </c>
      <c r="G20">
        <f t="shared" si="6"/>
        <v>136.82222222222219</v>
      </c>
      <c r="H20">
        <f t="shared" si="7"/>
        <v>137.89722222222224</v>
      </c>
      <c r="I20">
        <f t="shared" si="1"/>
        <v>18720.320493827152</v>
      </c>
      <c r="J20">
        <f t="shared" si="2"/>
        <v>19015.643896604943</v>
      </c>
      <c r="K20">
        <f t="shared" si="8"/>
        <v>18867.404382716049</v>
      </c>
      <c r="L20">
        <f t="shared" si="9"/>
        <v>309136</v>
      </c>
      <c r="M20">
        <f t="shared" si="10"/>
        <v>0.78537225440140901</v>
      </c>
      <c r="N20">
        <f>18*($N$21-$N$2)/20+$N$2</f>
        <v>899.11999999999989</v>
      </c>
      <c r="O20">
        <f t="shared" si="11"/>
        <v>900.7609503447768</v>
      </c>
      <c r="P20">
        <f t="shared" si="3"/>
        <v>902.63145602718873</v>
      </c>
      <c r="Q20">
        <f t="shared" si="4"/>
        <v>898.89044466236487</v>
      </c>
    </row>
    <row r="21" spans="1:17" x14ac:dyDescent="0.25">
      <c r="A21" s="23">
        <v>228.1</v>
      </c>
      <c r="B21" s="23">
        <v>228.3</v>
      </c>
      <c r="C21" s="44">
        <f t="shared" si="12"/>
        <v>-2.0523116691606447E-2</v>
      </c>
      <c r="D21" s="44">
        <f t="shared" si="5"/>
        <v>-2.3195298693666523E-2</v>
      </c>
      <c r="E21" s="20" t="s">
        <v>2</v>
      </c>
      <c r="F21" s="14">
        <f>SUM(K2:K101)</f>
        <v>4246964.0822222214</v>
      </c>
      <c r="G21">
        <f t="shared" si="6"/>
        <v>-191.07777777777781</v>
      </c>
      <c r="H21">
        <f t="shared" si="7"/>
        <v>-191.50277777777779</v>
      </c>
      <c r="I21">
        <f t="shared" si="1"/>
        <v>36510.717160493841</v>
      </c>
      <c r="J21">
        <f t="shared" si="2"/>
        <v>36673.313896604945</v>
      </c>
      <c r="K21">
        <f t="shared" si="8"/>
        <v>36591.925216049392</v>
      </c>
      <c r="L21">
        <f t="shared" si="9"/>
        <v>52029.61</v>
      </c>
      <c r="M21">
        <f t="shared" si="10"/>
        <v>-2.0523116691606447E-2</v>
      </c>
      <c r="N21">
        <f>MAX(A2:A101)</f>
        <v>999</v>
      </c>
      <c r="O21">
        <f t="shared" si="11"/>
        <v>1000.8523781286599</v>
      </c>
      <c r="P21">
        <f t="shared" si="3"/>
        <v>1002.7443469227994</v>
      </c>
      <c r="Q21">
        <f t="shared" si="4"/>
        <v>998.96040933452036</v>
      </c>
    </row>
    <row r="22" spans="1:17" x14ac:dyDescent="0.25">
      <c r="A22" s="23">
        <v>995.8</v>
      </c>
      <c r="B22" s="23">
        <v>998</v>
      </c>
      <c r="C22" s="44">
        <f t="shared" si="12"/>
        <v>0.35439568900574159</v>
      </c>
      <c r="D22" s="44">
        <f t="shared" si="5"/>
        <v>0.4005392546249017</v>
      </c>
      <c r="E22" s="38"/>
      <c r="F22" s="15"/>
      <c r="G22">
        <f t="shared" si="6"/>
        <v>576.62222222222215</v>
      </c>
      <c r="H22">
        <f t="shared" si="7"/>
        <v>578.19722222222219</v>
      </c>
      <c r="I22">
        <f t="shared" si="1"/>
        <v>332493.18716049375</v>
      </c>
      <c r="J22">
        <f t="shared" si="2"/>
        <v>334312.02778549382</v>
      </c>
      <c r="K22">
        <f t="shared" si="8"/>
        <v>333401.36716049374</v>
      </c>
      <c r="L22">
        <f t="shared" si="9"/>
        <v>991617.6399999999</v>
      </c>
      <c r="M22">
        <f t="shared" si="10"/>
        <v>0.35439568900574159</v>
      </c>
    </row>
    <row r="23" spans="1:17" ht="13.8" thickBot="1" x14ac:dyDescent="0.3">
      <c r="A23" s="23">
        <v>887.6</v>
      </c>
      <c r="B23" s="23">
        <v>888.8</v>
      </c>
      <c r="C23" s="44">
        <f t="shared" si="12"/>
        <v>-0.41656460118133509</v>
      </c>
      <c r="D23" s="44">
        <f t="shared" si="5"/>
        <v>-0.47080277790170372</v>
      </c>
      <c r="E23" s="39" t="s">
        <v>42</v>
      </c>
      <c r="F23" s="26">
        <v>95</v>
      </c>
      <c r="G23">
        <f t="shared" si="6"/>
        <v>468.42222222222222</v>
      </c>
      <c r="H23">
        <f t="shared" si="7"/>
        <v>468.99722222222215</v>
      </c>
      <c r="I23">
        <f t="shared" si="1"/>
        <v>219419.37827160495</v>
      </c>
      <c r="J23">
        <f t="shared" si="2"/>
        <v>219958.39445216043</v>
      </c>
      <c r="K23">
        <f t="shared" si="8"/>
        <v>219688.72104938267</v>
      </c>
      <c r="L23">
        <f t="shared" si="9"/>
        <v>787833.76</v>
      </c>
      <c r="M23">
        <f t="shared" si="10"/>
        <v>-0.41656460118133509</v>
      </c>
    </row>
    <row r="24" spans="1:17" ht="15" thickTop="1" x14ac:dyDescent="0.3">
      <c r="A24" s="23">
        <v>120.2</v>
      </c>
      <c r="B24" s="23">
        <v>119.6</v>
      </c>
      <c r="C24" s="44">
        <f t="shared" si="12"/>
        <v>-0.59211845228462323</v>
      </c>
      <c r="D24" s="44">
        <f t="shared" si="5"/>
        <v>-0.66921435808969754</v>
      </c>
      <c r="E24" s="40" t="s">
        <v>41</v>
      </c>
      <c r="F24" s="16">
        <f>TINV(1-F23/100,F2-2)*F4</f>
        <v>0.47314357832659593</v>
      </c>
      <c r="G24">
        <f t="shared" si="6"/>
        <v>-298.97777777777782</v>
      </c>
      <c r="H24">
        <f t="shared" si="7"/>
        <v>-300.20277777777778</v>
      </c>
      <c r="I24">
        <f t="shared" si="1"/>
        <v>89387.711604938289</v>
      </c>
      <c r="J24">
        <f t="shared" si="2"/>
        <v>90121.707785493825</v>
      </c>
      <c r="K24">
        <f t="shared" si="8"/>
        <v>89753.959382716057</v>
      </c>
      <c r="L24">
        <f t="shared" si="9"/>
        <v>14448.04</v>
      </c>
      <c r="M24">
        <f t="shared" si="10"/>
        <v>-0.59211845228462323</v>
      </c>
    </row>
    <row r="25" spans="1:17" x14ac:dyDescent="0.25">
      <c r="A25" s="23">
        <v>0.3</v>
      </c>
      <c r="B25" s="23">
        <v>0.3</v>
      </c>
      <c r="C25" s="44">
        <f t="shared" si="12"/>
        <v>0.26168802836784827</v>
      </c>
      <c r="D25" s="44">
        <f t="shared" si="5"/>
        <v>0.2957607303880605</v>
      </c>
      <c r="E25" s="20" t="s">
        <v>5</v>
      </c>
      <c r="F25" s="14">
        <f>TDIST(ABS(F3/F4),F2-2,2)</f>
        <v>0.26774674233232176</v>
      </c>
      <c r="G25">
        <f t="shared" si="6"/>
        <v>-418.87777777777779</v>
      </c>
      <c r="H25">
        <f t="shared" si="7"/>
        <v>-419.50277777777779</v>
      </c>
      <c r="I25">
        <f t="shared" si="1"/>
        <v>175458.5927160494</v>
      </c>
      <c r="J25">
        <f t="shared" si="2"/>
        <v>175982.58056327162</v>
      </c>
      <c r="K25">
        <f t="shared" si="8"/>
        <v>175720.3913271605</v>
      </c>
      <c r="L25">
        <f t="shared" si="9"/>
        <v>0.09</v>
      </c>
      <c r="M25">
        <f t="shared" si="10"/>
        <v>0.26168802836784827</v>
      </c>
    </row>
    <row r="26" spans="1:17" x14ac:dyDescent="0.25">
      <c r="A26" s="23">
        <v>0.3</v>
      </c>
      <c r="B26" s="23">
        <v>0.6</v>
      </c>
      <c r="C26" s="44">
        <f t="shared" si="12"/>
        <v>0.56168802836784826</v>
      </c>
      <c r="D26" s="44">
        <f t="shared" si="5"/>
        <v>0.634821785912141</v>
      </c>
      <c r="E26" s="20" t="s">
        <v>14</v>
      </c>
      <c r="F26" s="14">
        <f>F3+F24</f>
        <v>0.21082050455261137</v>
      </c>
      <c r="G26">
        <f t="shared" si="6"/>
        <v>-418.87777777777779</v>
      </c>
      <c r="H26">
        <f t="shared" si="7"/>
        <v>-419.20277777777778</v>
      </c>
      <c r="I26">
        <f t="shared" si="1"/>
        <v>175458.5927160494</v>
      </c>
      <c r="J26">
        <f t="shared" si="2"/>
        <v>175730.96889660493</v>
      </c>
      <c r="K26">
        <f t="shared" si="8"/>
        <v>175594.72799382717</v>
      </c>
      <c r="L26">
        <f t="shared" si="9"/>
        <v>0.09</v>
      </c>
      <c r="M26">
        <f t="shared" si="10"/>
        <v>0.56168802836784826</v>
      </c>
    </row>
    <row r="27" spans="1:17" ht="13.8" thickBot="1" x14ac:dyDescent="0.3">
      <c r="A27" s="23">
        <v>556.79999999999995</v>
      </c>
      <c r="B27" s="23">
        <v>557.6</v>
      </c>
      <c r="C27" s="44">
        <f t="shared" si="12"/>
        <v>-0.11632120001479507</v>
      </c>
      <c r="D27" s="44">
        <f t="shared" si="5"/>
        <v>-0.13146662952281368</v>
      </c>
      <c r="E27" s="41" t="s">
        <v>15</v>
      </c>
      <c r="F27" s="17">
        <f>F3-F24</f>
        <v>-0.73546665210058049</v>
      </c>
      <c r="G27">
        <f t="shared" si="6"/>
        <v>137.62222222222215</v>
      </c>
      <c r="H27">
        <f t="shared" si="7"/>
        <v>137.79722222222222</v>
      </c>
      <c r="I27">
        <f t="shared" si="1"/>
        <v>18939.876049382696</v>
      </c>
      <c r="J27">
        <f t="shared" si="2"/>
        <v>18988.074452160494</v>
      </c>
      <c r="K27">
        <f t="shared" si="8"/>
        <v>18963.959938271593</v>
      </c>
      <c r="L27">
        <f t="shared" si="9"/>
        <v>310026.23999999993</v>
      </c>
      <c r="M27">
        <f t="shared" si="10"/>
        <v>-0.11632120001479507</v>
      </c>
    </row>
    <row r="28" spans="1:17" ht="15" thickTop="1" x14ac:dyDescent="0.3">
      <c r="A28" s="23">
        <v>339.1</v>
      </c>
      <c r="B28" s="23">
        <v>339.3</v>
      </c>
      <c r="C28" s="44">
        <f t="shared" si="12"/>
        <v>-0.25548991696206258</v>
      </c>
      <c r="D28" s="44">
        <f t="shared" si="5"/>
        <v>-0.28875560306972209</v>
      </c>
      <c r="E28" s="21" t="s">
        <v>43</v>
      </c>
      <c r="F28" s="18">
        <f>TINV(1-F23/100,F2-2)*F6</f>
        <v>8.7345228487459693E-4</v>
      </c>
      <c r="G28">
        <f t="shared" si="6"/>
        <v>-80.077777777777783</v>
      </c>
      <c r="H28">
        <f t="shared" si="7"/>
        <v>-80.502777777777794</v>
      </c>
      <c r="I28">
        <f t="shared" si="1"/>
        <v>6412.4504938271612</v>
      </c>
      <c r="J28">
        <f t="shared" si="2"/>
        <v>6480.6972299382742</v>
      </c>
      <c r="K28">
        <f t="shared" si="8"/>
        <v>6446.4835493827177</v>
      </c>
      <c r="L28">
        <f t="shared" si="9"/>
        <v>114988.81000000001</v>
      </c>
      <c r="M28">
        <f t="shared" si="10"/>
        <v>-0.25548991696206258</v>
      </c>
    </row>
    <row r="29" spans="1:17" x14ac:dyDescent="0.25">
      <c r="A29" s="23">
        <v>887.2</v>
      </c>
      <c r="B29" s="23">
        <v>888</v>
      </c>
      <c r="C29" s="44">
        <f t="shared" si="12"/>
        <v>-0.81571787397319895</v>
      </c>
      <c r="D29" s="44">
        <f t="shared" si="5"/>
        <v>-0.92192721119737242</v>
      </c>
      <c r="E29" s="40" t="s">
        <v>6</v>
      </c>
      <c r="F29" s="16">
        <f>TDIST(ABS(F5/F6),F2-2,2)</f>
        <v>4.6540408521488419E-90</v>
      </c>
      <c r="G29">
        <f t="shared" si="6"/>
        <v>468.02222222222224</v>
      </c>
      <c r="H29">
        <f t="shared" si="7"/>
        <v>468.19722222222219</v>
      </c>
      <c r="I29">
        <f t="shared" si="1"/>
        <v>219044.80049382718</v>
      </c>
      <c r="J29">
        <f t="shared" si="2"/>
        <v>219208.63889660491</v>
      </c>
      <c r="K29">
        <f t="shared" si="8"/>
        <v>219126.70438271604</v>
      </c>
      <c r="L29">
        <f t="shared" si="9"/>
        <v>787123.84000000008</v>
      </c>
      <c r="M29">
        <f t="shared" si="10"/>
        <v>-0.81571787397319895</v>
      </c>
    </row>
    <row r="30" spans="1:17" x14ac:dyDescent="0.25">
      <c r="A30" s="23">
        <v>999</v>
      </c>
      <c r="B30" s="23">
        <v>998.5</v>
      </c>
      <c r="C30" s="44">
        <f t="shared" si="12"/>
        <v>-2.3523781286598933</v>
      </c>
      <c r="D30" s="44">
        <f t="shared" si="5"/>
        <v>-2.6586660376506157</v>
      </c>
      <c r="E30" s="20" t="s">
        <v>13</v>
      </c>
      <c r="F30" s="14">
        <f>F5+F28</f>
        <v>1.0029902703053288</v>
      </c>
      <c r="G30">
        <f t="shared" si="6"/>
        <v>579.82222222222219</v>
      </c>
      <c r="H30">
        <f t="shared" si="7"/>
        <v>578.69722222222219</v>
      </c>
      <c r="I30">
        <f t="shared" si="1"/>
        <v>336193.80938271602</v>
      </c>
      <c r="J30">
        <f t="shared" si="2"/>
        <v>334890.47500771604</v>
      </c>
      <c r="K30">
        <f t="shared" si="8"/>
        <v>335541.50938271603</v>
      </c>
      <c r="L30">
        <f t="shared" si="9"/>
        <v>998001</v>
      </c>
      <c r="M30">
        <f t="shared" si="10"/>
        <v>-2.3523781286598933</v>
      </c>
    </row>
    <row r="31" spans="1:17" ht="13.8" thickBot="1" x14ac:dyDescent="0.3">
      <c r="A31" s="23">
        <v>779</v>
      </c>
      <c r="B31" s="23">
        <v>778.9</v>
      </c>
      <c r="C31" s="44">
        <f t="shared" si="12"/>
        <v>-1.4866781641600255</v>
      </c>
      <c r="D31" s="44">
        <f t="shared" si="5"/>
        <v>-1.6802488918823351</v>
      </c>
      <c r="E31" s="41" t="s">
        <v>12</v>
      </c>
      <c r="F31" s="17">
        <f>F5-F28</f>
        <v>1.0012433657355797</v>
      </c>
      <c r="G31">
        <f>IF(ISBLANK(A31),0,A31-$F$17)</f>
        <v>359.82222222222219</v>
      </c>
      <c r="H31">
        <f>IF(ISBLANK(B31),0,B31-$F$18)</f>
        <v>359.09722222222217</v>
      </c>
      <c r="I31">
        <f t="shared" si="1"/>
        <v>129472.03160493825</v>
      </c>
      <c r="J31">
        <f t="shared" si="2"/>
        <v>128950.81500771601</v>
      </c>
      <c r="K31">
        <f>IF(ISBLANK(A31),0,G31*H31)</f>
        <v>129211.16049382713</v>
      </c>
      <c r="L31">
        <f>IF(ISBLANK(A31),0,A31^2)</f>
        <v>606841</v>
      </c>
      <c r="M31">
        <f>IF(ISBLANK(A31),NA(),B31-($F$3+$F$5*A31))</f>
        <v>-1.4866781641600255</v>
      </c>
    </row>
    <row r="32" spans="1:17" ht="15" thickTop="1" x14ac:dyDescent="0.3">
      <c r="A32" s="23">
        <v>11.1</v>
      </c>
      <c r="B32" s="23">
        <v>10.199999999999999</v>
      </c>
      <c r="C32" s="44">
        <f t="shared" si="12"/>
        <v>-0.66117360625305821</v>
      </c>
      <c r="D32" s="44">
        <f t="shared" si="5"/>
        <v>-0.74726073606941568</v>
      </c>
      <c r="E32" s="22" t="s">
        <v>44</v>
      </c>
      <c r="F32" s="16">
        <f>TINV(1-F23/100,F2-2)*F15</f>
        <v>1.8549496808063188</v>
      </c>
      <c r="G32">
        <f t="shared" si="6"/>
        <v>-408.07777777777778</v>
      </c>
      <c r="H32">
        <f t="shared" si="7"/>
        <v>-409.60277777777782</v>
      </c>
      <c r="I32">
        <f t="shared" si="1"/>
        <v>166527.47271604938</v>
      </c>
      <c r="J32">
        <f t="shared" si="2"/>
        <v>167774.43556327163</v>
      </c>
      <c r="K32">
        <f t="shared" si="8"/>
        <v>167149.79132716052</v>
      </c>
      <c r="L32">
        <f t="shared" si="9"/>
        <v>123.21</v>
      </c>
      <c r="M32">
        <f t="shared" si="10"/>
        <v>-0.66117360625305821</v>
      </c>
    </row>
    <row r="33" spans="1:13" x14ac:dyDescent="0.25">
      <c r="A33" s="23">
        <v>118.3</v>
      </c>
      <c r="B33" s="23">
        <v>117.6</v>
      </c>
      <c r="C33" s="44">
        <f t="shared" si="12"/>
        <v>-0.68809649804575201</v>
      </c>
      <c r="D33" s="44">
        <f t="shared" si="5"/>
        <v>-0.77768908309938689</v>
      </c>
      <c r="E33" s="20" t="s">
        <v>16</v>
      </c>
      <c r="F33" s="14">
        <f>F14+F32</f>
        <v>4.5037318793438859</v>
      </c>
      <c r="G33">
        <f t="shared" si="6"/>
        <v>-300.87777777777779</v>
      </c>
      <c r="H33">
        <f t="shared" si="7"/>
        <v>-302.20277777777778</v>
      </c>
      <c r="I33">
        <f t="shared" si="1"/>
        <v>90527.437160493835</v>
      </c>
      <c r="J33">
        <f t="shared" si="2"/>
        <v>91326.518896604946</v>
      </c>
      <c r="K33">
        <f t="shared" si="8"/>
        <v>90926.100216049395</v>
      </c>
      <c r="L33">
        <f t="shared" si="9"/>
        <v>13994.89</v>
      </c>
      <c r="M33">
        <f t="shared" si="10"/>
        <v>-0.68809649804575201</v>
      </c>
    </row>
    <row r="34" spans="1:13" x14ac:dyDescent="0.25">
      <c r="A34" s="23">
        <v>229.2</v>
      </c>
      <c r="B34" s="23">
        <v>228.9</v>
      </c>
      <c r="C34" s="44">
        <f t="shared" si="12"/>
        <v>-0.52285161651411727</v>
      </c>
      <c r="D34" s="44">
        <f t="shared" si="5"/>
        <v>-0.59092873659249456</v>
      </c>
      <c r="E34" s="20" t="s">
        <v>17</v>
      </c>
      <c r="F34" s="14">
        <f>F14-F32</f>
        <v>0.79383251773124819</v>
      </c>
      <c r="G34">
        <f t="shared" si="6"/>
        <v>-189.97777777777782</v>
      </c>
      <c r="H34">
        <f t="shared" si="7"/>
        <v>-190.9027777777778</v>
      </c>
      <c r="I34">
        <f t="shared" ref="I34:I65" si="13">IF(ISBLANK(A34),0,G34^2)</f>
        <v>36091.556049382729</v>
      </c>
      <c r="J34">
        <f t="shared" ref="J34:J65" si="14">IF(ISBLANK(B34),0,H34^2)</f>
        <v>36443.870563271616</v>
      </c>
      <c r="K34">
        <f t="shared" si="8"/>
        <v>36267.28549382717</v>
      </c>
      <c r="L34">
        <f t="shared" si="9"/>
        <v>52532.639999999992</v>
      </c>
      <c r="M34">
        <f t="shared" si="10"/>
        <v>-0.52285161651411727</v>
      </c>
    </row>
    <row r="35" spans="1:13" x14ac:dyDescent="0.25">
      <c r="A35" s="23">
        <v>669.1</v>
      </c>
      <c r="B35" s="23">
        <v>668.4</v>
      </c>
      <c r="C35" s="44">
        <f t="shared" si="12"/>
        <v>-1.8540398637120461</v>
      </c>
      <c r="D35" s="44">
        <f t="shared" si="5"/>
        <v>-2.095442377246429</v>
      </c>
      <c r="E35" s="19"/>
      <c r="G35">
        <f t="shared" si="6"/>
        <v>249.92222222222222</v>
      </c>
      <c r="H35">
        <f t="shared" si="7"/>
        <v>248.59722222222217</v>
      </c>
      <c r="I35">
        <f t="shared" si="13"/>
        <v>62461.117160493828</v>
      </c>
      <c r="J35">
        <f t="shared" si="14"/>
        <v>61800.578896604915</v>
      </c>
      <c r="K35">
        <f t="shared" si="8"/>
        <v>62129.970216049369</v>
      </c>
      <c r="L35">
        <f t="shared" si="9"/>
        <v>447694.81000000006</v>
      </c>
      <c r="M35">
        <f t="shared" si="10"/>
        <v>-1.8540398637120461</v>
      </c>
    </row>
    <row r="36" spans="1:13" x14ac:dyDescent="0.25">
      <c r="A36" s="23">
        <v>448.9</v>
      </c>
      <c r="B36" s="23">
        <v>449.2</v>
      </c>
      <c r="C36" s="44">
        <f t="shared" si="12"/>
        <v>-0.38791653560792838</v>
      </c>
      <c r="D36" s="44">
        <f t="shared" si="5"/>
        <v>-0.43842463339489585</v>
      </c>
      <c r="E36" s="19"/>
      <c r="G36">
        <f t="shared" si="6"/>
        <v>29.722222222222172</v>
      </c>
      <c r="H36">
        <f t="shared" si="7"/>
        <v>29.397222222222183</v>
      </c>
      <c r="I36">
        <f t="shared" si="13"/>
        <v>883.41049382715744</v>
      </c>
      <c r="J36">
        <f t="shared" si="14"/>
        <v>864.1966743827137</v>
      </c>
      <c r="K36">
        <f t="shared" si="8"/>
        <v>873.75077160493561</v>
      </c>
      <c r="L36">
        <f t="shared" si="9"/>
        <v>201511.21</v>
      </c>
      <c r="M36">
        <f t="shared" si="10"/>
        <v>-0.38791653560792838</v>
      </c>
    </row>
    <row r="37" spans="1:13" x14ac:dyDescent="0.25">
      <c r="A37" s="23">
        <v>0.5</v>
      </c>
      <c r="B37" s="23">
        <v>0.2</v>
      </c>
      <c r="C37" s="44">
        <f t="shared" si="12"/>
        <v>-3.8735335236242563E-2</v>
      </c>
      <c r="D37" s="44">
        <f t="shared" si="5"/>
        <v>-4.3778812170931707E-2</v>
      </c>
      <c r="E37" s="19"/>
      <c r="G37">
        <f t="shared" si="6"/>
        <v>-418.67777777777781</v>
      </c>
      <c r="H37">
        <f t="shared" si="7"/>
        <v>-419.60277777777782</v>
      </c>
      <c r="I37">
        <f t="shared" si="13"/>
        <v>175291.08160493828</v>
      </c>
      <c r="J37">
        <f t="shared" si="14"/>
        <v>176066.49111882719</v>
      </c>
      <c r="K37">
        <f t="shared" si="8"/>
        <v>175678.35854938274</v>
      </c>
      <c r="L37">
        <f t="shared" si="9"/>
        <v>0.25</v>
      </c>
      <c r="M37">
        <f t="shared" si="10"/>
        <v>-3.8735335236242563E-2</v>
      </c>
    </row>
    <row r="38" spans="1:13" x14ac:dyDescent="0.25">
      <c r="A38" s="23"/>
      <c r="B38" s="23"/>
      <c r="C38" s="44" t="str">
        <f t="shared" si="12"/>
        <v/>
      </c>
      <c r="D38" s="44" t="str">
        <f t="shared" si="5"/>
        <v/>
      </c>
      <c r="E38" s="19"/>
      <c r="G38">
        <f t="shared" si="6"/>
        <v>0</v>
      </c>
      <c r="H38">
        <f t="shared" si="7"/>
        <v>0</v>
      </c>
      <c r="I38">
        <f t="shared" si="13"/>
        <v>0</v>
      </c>
      <c r="J38">
        <f t="shared" si="14"/>
        <v>0</v>
      </c>
      <c r="K38">
        <f t="shared" si="8"/>
        <v>0</v>
      </c>
      <c r="L38">
        <f t="shared" si="9"/>
        <v>0</v>
      </c>
      <c r="M38" t="e">
        <f t="shared" si="10"/>
        <v>#N/A</v>
      </c>
    </row>
    <row r="39" spans="1:13" x14ac:dyDescent="0.25">
      <c r="A39" s="23"/>
      <c r="B39" s="23"/>
      <c r="C39" s="44" t="str">
        <f t="shared" si="12"/>
        <v/>
      </c>
      <c r="D39" s="44" t="str">
        <f t="shared" si="5"/>
        <v/>
      </c>
      <c r="E39" s="19"/>
      <c r="G39">
        <f t="shared" si="6"/>
        <v>0</v>
      </c>
      <c r="H39">
        <f t="shared" si="7"/>
        <v>0</v>
      </c>
      <c r="I39">
        <f t="shared" si="13"/>
        <v>0</v>
      </c>
      <c r="J39">
        <f t="shared" si="14"/>
        <v>0</v>
      </c>
      <c r="K39">
        <f t="shared" si="8"/>
        <v>0</v>
      </c>
      <c r="L39">
        <f t="shared" si="9"/>
        <v>0</v>
      </c>
      <c r="M39" t="e">
        <f t="shared" si="10"/>
        <v>#N/A</v>
      </c>
    </row>
    <row r="40" spans="1:13" x14ac:dyDescent="0.25">
      <c r="A40" s="23"/>
      <c r="B40" s="23"/>
      <c r="C40" s="44" t="str">
        <f t="shared" si="12"/>
        <v/>
      </c>
      <c r="D40" s="44" t="str">
        <f t="shared" si="5"/>
        <v/>
      </c>
      <c r="E40" s="19"/>
      <c r="G40">
        <f t="shared" si="6"/>
        <v>0</v>
      </c>
      <c r="H40">
        <f t="shared" si="7"/>
        <v>0</v>
      </c>
      <c r="I40">
        <f t="shared" si="13"/>
        <v>0</v>
      </c>
      <c r="J40">
        <f t="shared" si="14"/>
        <v>0</v>
      </c>
      <c r="K40">
        <f t="shared" si="8"/>
        <v>0</v>
      </c>
      <c r="L40">
        <f t="shared" si="9"/>
        <v>0</v>
      </c>
      <c r="M40" t="e">
        <f t="shared" si="10"/>
        <v>#N/A</v>
      </c>
    </row>
    <row r="41" spans="1:13" x14ac:dyDescent="0.25">
      <c r="A41" s="23"/>
      <c r="B41" s="23"/>
      <c r="C41" s="44" t="str">
        <f t="shared" si="12"/>
        <v/>
      </c>
      <c r="D41" s="44" t="str">
        <f t="shared" si="5"/>
        <v/>
      </c>
      <c r="E41" s="19"/>
      <c r="G41">
        <f t="shared" si="6"/>
        <v>0</v>
      </c>
      <c r="H41">
        <f t="shared" si="7"/>
        <v>0</v>
      </c>
      <c r="I41">
        <f t="shared" si="13"/>
        <v>0</v>
      </c>
      <c r="J41">
        <f t="shared" si="14"/>
        <v>0</v>
      </c>
      <c r="K41">
        <f t="shared" si="8"/>
        <v>0</v>
      </c>
      <c r="L41">
        <f t="shared" si="9"/>
        <v>0</v>
      </c>
      <c r="M41" t="e">
        <f t="shared" si="10"/>
        <v>#N/A</v>
      </c>
    </row>
    <row r="42" spans="1:13" x14ac:dyDescent="0.25">
      <c r="A42" s="23"/>
      <c r="B42" s="23"/>
      <c r="C42" s="44" t="str">
        <f t="shared" si="12"/>
        <v/>
      </c>
      <c r="D42" s="44" t="str">
        <f t="shared" si="5"/>
        <v/>
      </c>
      <c r="E42" s="19"/>
      <c r="G42">
        <f t="shared" si="6"/>
        <v>0</v>
      </c>
      <c r="H42">
        <f t="shared" si="7"/>
        <v>0</v>
      </c>
      <c r="I42">
        <f t="shared" si="13"/>
        <v>0</v>
      </c>
      <c r="J42">
        <f t="shared" si="14"/>
        <v>0</v>
      </c>
      <c r="K42">
        <f t="shared" si="8"/>
        <v>0</v>
      </c>
      <c r="L42">
        <f t="shared" si="9"/>
        <v>0</v>
      </c>
      <c r="M42" t="e">
        <f t="shared" si="10"/>
        <v>#N/A</v>
      </c>
    </row>
    <row r="43" spans="1:13" x14ac:dyDescent="0.25">
      <c r="A43" s="23"/>
      <c r="B43" s="23"/>
      <c r="C43" s="44" t="str">
        <f t="shared" si="12"/>
        <v/>
      </c>
      <c r="D43" s="44" t="str">
        <f t="shared" si="5"/>
        <v/>
      </c>
      <c r="E43" s="19"/>
      <c r="G43">
        <f t="shared" si="6"/>
        <v>0</v>
      </c>
      <c r="H43">
        <f t="shared" si="7"/>
        <v>0</v>
      </c>
      <c r="I43">
        <f t="shared" si="13"/>
        <v>0</v>
      </c>
      <c r="J43">
        <f t="shared" si="14"/>
        <v>0</v>
      </c>
      <c r="K43">
        <f t="shared" si="8"/>
        <v>0</v>
      </c>
      <c r="L43">
        <f t="shared" si="9"/>
        <v>0</v>
      </c>
      <c r="M43" t="e">
        <f t="shared" si="10"/>
        <v>#N/A</v>
      </c>
    </row>
    <row r="44" spans="1:13" x14ac:dyDescent="0.25">
      <c r="A44" s="23"/>
      <c r="B44" s="23"/>
      <c r="C44" s="44" t="str">
        <f t="shared" si="12"/>
        <v/>
      </c>
      <c r="D44" s="44" t="str">
        <f t="shared" si="5"/>
        <v/>
      </c>
      <c r="E44" s="19"/>
      <c r="G44">
        <f t="shared" si="6"/>
        <v>0</v>
      </c>
      <c r="H44">
        <f t="shared" si="7"/>
        <v>0</v>
      </c>
      <c r="I44">
        <f t="shared" si="13"/>
        <v>0</v>
      </c>
      <c r="J44">
        <f t="shared" si="14"/>
        <v>0</v>
      </c>
      <c r="K44">
        <f t="shared" si="8"/>
        <v>0</v>
      </c>
      <c r="L44">
        <f t="shared" si="9"/>
        <v>0</v>
      </c>
      <c r="M44" t="e">
        <f t="shared" si="10"/>
        <v>#N/A</v>
      </c>
    </row>
    <row r="45" spans="1:13" x14ac:dyDescent="0.25">
      <c r="A45" s="23"/>
      <c r="B45" s="23"/>
      <c r="C45" s="44" t="str">
        <f t="shared" si="12"/>
        <v/>
      </c>
      <c r="D45" s="44" t="str">
        <f t="shared" si="5"/>
        <v/>
      </c>
      <c r="E45" s="19"/>
      <c r="G45">
        <f t="shared" si="6"/>
        <v>0</v>
      </c>
      <c r="H45">
        <f t="shared" si="7"/>
        <v>0</v>
      </c>
      <c r="I45">
        <f t="shared" si="13"/>
        <v>0</v>
      </c>
      <c r="J45">
        <f t="shared" si="14"/>
        <v>0</v>
      </c>
      <c r="K45">
        <f t="shared" si="8"/>
        <v>0</v>
      </c>
      <c r="L45">
        <f t="shared" si="9"/>
        <v>0</v>
      </c>
      <c r="M45" t="e">
        <f t="shared" si="10"/>
        <v>#N/A</v>
      </c>
    </row>
    <row r="46" spans="1:13" x14ac:dyDescent="0.25">
      <c r="A46" s="23"/>
      <c r="B46" s="23"/>
      <c r="C46" s="44" t="str">
        <f t="shared" si="12"/>
        <v/>
      </c>
      <c r="D46" s="44" t="str">
        <f t="shared" si="5"/>
        <v/>
      </c>
      <c r="E46" s="19"/>
      <c r="G46">
        <f t="shared" si="6"/>
        <v>0</v>
      </c>
      <c r="H46">
        <f t="shared" si="7"/>
        <v>0</v>
      </c>
      <c r="I46">
        <f t="shared" si="13"/>
        <v>0</v>
      </c>
      <c r="J46">
        <f t="shared" si="14"/>
        <v>0</v>
      </c>
      <c r="K46">
        <f t="shared" si="8"/>
        <v>0</v>
      </c>
      <c r="L46">
        <f t="shared" si="9"/>
        <v>0</v>
      </c>
      <c r="M46" t="e">
        <f t="shared" si="10"/>
        <v>#N/A</v>
      </c>
    </row>
    <row r="47" spans="1:13" x14ac:dyDescent="0.25">
      <c r="A47" s="23"/>
      <c r="B47" s="23"/>
      <c r="C47" s="44" t="str">
        <f t="shared" si="12"/>
        <v/>
      </c>
      <c r="D47" s="44" t="str">
        <f t="shared" si="5"/>
        <v/>
      </c>
      <c r="E47" s="19"/>
      <c r="G47">
        <f t="shared" si="6"/>
        <v>0</v>
      </c>
      <c r="H47">
        <f t="shared" si="7"/>
        <v>0</v>
      </c>
      <c r="I47">
        <f t="shared" si="13"/>
        <v>0</v>
      </c>
      <c r="J47">
        <f t="shared" si="14"/>
        <v>0</v>
      </c>
      <c r="K47">
        <f t="shared" si="8"/>
        <v>0</v>
      </c>
      <c r="L47">
        <f t="shared" si="9"/>
        <v>0</v>
      </c>
      <c r="M47" t="e">
        <f t="shared" si="10"/>
        <v>#N/A</v>
      </c>
    </row>
    <row r="48" spans="1:13" x14ac:dyDescent="0.25">
      <c r="A48" s="23"/>
      <c r="B48" s="23"/>
      <c r="C48" s="44" t="str">
        <f t="shared" si="12"/>
        <v/>
      </c>
      <c r="D48" s="44" t="str">
        <f t="shared" si="5"/>
        <v/>
      </c>
      <c r="E48" s="19"/>
      <c r="G48">
        <f t="shared" si="6"/>
        <v>0</v>
      </c>
      <c r="H48">
        <f t="shared" si="7"/>
        <v>0</v>
      </c>
      <c r="I48">
        <f t="shared" si="13"/>
        <v>0</v>
      </c>
      <c r="J48">
        <f t="shared" si="14"/>
        <v>0</v>
      </c>
      <c r="K48">
        <f t="shared" si="8"/>
        <v>0</v>
      </c>
      <c r="L48">
        <f t="shared" si="9"/>
        <v>0</v>
      </c>
      <c r="M48" t="e">
        <f t="shared" si="10"/>
        <v>#N/A</v>
      </c>
    </row>
    <row r="49" spans="1:13" x14ac:dyDescent="0.25">
      <c r="A49" s="23"/>
      <c r="B49" s="23"/>
      <c r="C49" s="44" t="str">
        <f t="shared" si="12"/>
        <v/>
      </c>
      <c r="D49" s="44" t="str">
        <f t="shared" si="5"/>
        <v/>
      </c>
      <c r="E49" s="19"/>
      <c r="G49">
        <f t="shared" si="6"/>
        <v>0</v>
      </c>
      <c r="H49">
        <f t="shared" si="7"/>
        <v>0</v>
      </c>
      <c r="I49">
        <f t="shared" si="13"/>
        <v>0</v>
      </c>
      <c r="J49">
        <f t="shared" si="14"/>
        <v>0</v>
      </c>
      <c r="K49">
        <f t="shared" si="8"/>
        <v>0</v>
      </c>
      <c r="L49">
        <f t="shared" si="9"/>
        <v>0</v>
      </c>
      <c r="M49" t="e">
        <f t="shared" si="10"/>
        <v>#N/A</v>
      </c>
    </row>
    <row r="50" spans="1:13" x14ac:dyDescent="0.25">
      <c r="A50" s="23"/>
      <c r="B50" s="23"/>
      <c r="C50" s="44" t="str">
        <f t="shared" si="12"/>
        <v/>
      </c>
      <c r="D50" s="44" t="str">
        <f t="shared" si="5"/>
        <v/>
      </c>
      <c r="E50" s="19"/>
      <c r="G50">
        <f t="shared" si="6"/>
        <v>0</v>
      </c>
      <c r="H50">
        <f t="shared" si="7"/>
        <v>0</v>
      </c>
      <c r="I50">
        <f t="shared" si="13"/>
        <v>0</v>
      </c>
      <c r="J50">
        <f t="shared" si="14"/>
        <v>0</v>
      </c>
      <c r="K50">
        <f t="shared" si="8"/>
        <v>0</v>
      </c>
      <c r="L50">
        <f t="shared" si="9"/>
        <v>0</v>
      </c>
      <c r="M50" t="e">
        <f t="shared" si="10"/>
        <v>#N/A</v>
      </c>
    </row>
    <row r="51" spans="1:13" x14ac:dyDescent="0.25">
      <c r="A51" s="23"/>
      <c r="B51" s="23"/>
      <c r="C51" s="44" t="str">
        <f t="shared" si="12"/>
        <v/>
      </c>
      <c r="D51" s="44" t="str">
        <f t="shared" si="5"/>
        <v/>
      </c>
      <c r="E51" s="19"/>
      <c r="G51">
        <f t="shared" si="6"/>
        <v>0</v>
      </c>
      <c r="H51">
        <f t="shared" si="7"/>
        <v>0</v>
      </c>
      <c r="I51">
        <f t="shared" si="13"/>
        <v>0</v>
      </c>
      <c r="J51">
        <f t="shared" si="14"/>
        <v>0</v>
      </c>
      <c r="K51">
        <f t="shared" si="8"/>
        <v>0</v>
      </c>
      <c r="L51">
        <f t="shared" si="9"/>
        <v>0</v>
      </c>
      <c r="M51" t="e">
        <f t="shared" si="10"/>
        <v>#N/A</v>
      </c>
    </row>
    <row r="52" spans="1:13" x14ac:dyDescent="0.25">
      <c r="A52" s="23"/>
      <c r="B52" s="23"/>
      <c r="C52" s="44" t="str">
        <f t="shared" si="12"/>
        <v/>
      </c>
      <c r="D52" s="44" t="str">
        <f t="shared" si="5"/>
        <v/>
      </c>
      <c r="E52" s="19"/>
      <c r="G52">
        <f t="shared" si="6"/>
        <v>0</v>
      </c>
      <c r="H52">
        <f t="shared" si="7"/>
        <v>0</v>
      </c>
      <c r="I52">
        <f t="shared" si="13"/>
        <v>0</v>
      </c>
      <c r="J52">
        <f t="shared" si="14"/>
        <v>0</v>
      </c>
      <c r="K52">
        <f t="shared" si="8"/>
        <v>0</v>
      </c>
      <c r="L52">
        <f t="shared" si="9"/>
        <v>0</v>
      </c>
      <c r="M52" t="e">
        <f t="shared" si="10"/>
        <v>#N/A</v>
      </c>
    </row>
    <row r="53" spans="1:13" x14ac:dyDescent="0.25">
      <c r="A53" s="23"/>
      <c r="B53" s="23"/>
      <c r="C53" s="44" t="str">
        <f t="shared" si="12"/>
        <v/>
      </c>
      <c r="D53" s="44" t="str">
        <f t="shared" si="5"/>
        <v/>
      </c>
      <c r="E53" s="19"/>
      <c r="G53">
        <f t="shared" si="6"/>
        <v>0</v>
      </c>
      <c r="H53">
        <f t="shared" si="7"/>
        <v>0</v>
      </c>
      <c r="I53">
        <f t="shared" si="13"/>
        <v>0</v>
      </c>
      <c r="J53">
        <f t="shared" si="14"/>
        <v>0</v>
      </c>
      <c r="K53">
        <f t="shared" si="8"/>
        <v>0</v>
      </c>
      <c r="L53">
        <f t="shared" si="9"/>
        <v>0</v>
      </c>
      <c r="M53" t="e">
        <f t="shared" si="10"/>
        <v>#N/A</v>
      </c>
    </row>
    <row r="54" spans="1:13" x14ac:dyDescent="0.25">
      <c r="A54" s="23"/>
      <c r="B54" s="23"/>
      <c r="C54" s="44" t="str">
        <f t="shared" si="12"/>
        <v/>
      </c>
      <c r="D54" s="44" t="str">
        <f t="shared" si="5"/>
        <v/>
      </c>
      <c r="E54" s="19"/>
      <c r="G54">
        <f t="shared" si="6"/>
        <v>0</v>
      </c>
      <c r="H54">
        <f t="shared" si="7"/>
        <v>0</v>
      </c>
      <c r="I54">
        <f t="shared" si="13"/>
        <v>0</v>
      </c>
      <c r="J54">
        <f t="shared" si="14"/>
        <v>0</v>
      </c>
      <c r="K54">
        <f t="shared" si="8"/>
        <v>0</v>
      </c>
      <c r="L54">
        <f t="shared" si="9"/>
        <v>0</v>
      </c>
      <c r="M54" t="e">
        <f t="shared" si="10"/>
        <v>#N/A</v>
      </c>
    </row>
    <row r="55" spans="1:13" x14ac:dyDescent="0.25">
      <c r="A55" s="23"/>
      <c r="B55" s="23"/>
      <c r="C55" s="44" t="str">
        <f t="shared" si="12"/>
        <v/>
      </c>
      <c r="D55" s="44" t="str">
        <f t="shared" si="5"/>
        <v/>
      </c>
      <c r="E55" s="19"/>
      <c r="G55">
        <f t="shared" si="6"/>
        <v>0</v>
      </c>
      <c r="H55">
        <f t="shared" si="7"/>
        <v>0</v>
      </c>
      <c r="I55">
        <f t="shared" si="13"/>
        <v>0</v>
      </c>
      <c r="J55">
        <f t="shared" si="14"/>
        <v>0</v>
      </c>
      <c r="K55">
        <f t="shared" si="8"/>
        <v>0</v>
      </c>
      <c r="L55">
        <f t="shared" si="9"/>
        <v>0</v>
      </c>
      <c r="M55" t="e">
        <f t="shared" si="10"/>
        <v>#N/A</v>
      </c>
    </row>
    <row r="56" spans="1:13" x14ac:dyDescent="0.25">
      <c r="A56" s="23"/>
      <c r="B56" s="23"/>
      <c r="C56" s="44" t="str">
        <f t="shared" si="12"/>
        <v/>
      </c>
      <c r="D56" s="44" t="str">
        <f t="shared" si="5"/>
        <v/>
      </c>
      <c r="E56" s="19"/>
      <c r="G56">
        <f t="shared" si="6"/>
        <v>0</v>
      </c>
      <c r="H56">
        <f t="shared" si="7"/>
        <v>0</v>
      </c>
      <c r="I56">
        <f t="shared" si="13"/>
        <v>0</v>
      </c>
      <c r="J56">
        <f t="shared" si="14"/>
        <v>0</v>
      </c>
      <c r="K56">
        <f t="shared" si="8"/>
        <v>0</v>
      </c>
      <c r="L56">
        <f t="shared" si="9"/>
        <v>0</v>
      </c>
      <c r="M56" t="e">
        <f t="shared" si="10"/>
        <v>#N/A</v>
      </c>
    </row>
    <row r="57" spans="1:13" x14ac:dyDescent="0.25">
      <c r="A57" s="23"/>
      <c r="B57" s="23"/>
      <c r="C57" s="44" t="str">
        <f t="shared" si="12"/>
        <v/>
      </c>
      <c r="D57" s="44" t="str">
        <f t="shared" si="5"/>
        <v/>
      </c>
      <c r="E57" s="19"/>
      <c r="G57">
        <f t="shared" si="6"/>
        <v>0</v>
      </c>
      <c r="H57">
        <f t="shared" si="7"/>
        <v>0</v>
      </c>
      <c r="I57">
        <f t="shared" si="13"/>
        <v>0</v>
      </c>
      <c r="J57">
        <f t="shared" si="14"/>
        <v>0</v>
      </c>
      <c r="K57">
        <f t="shared" si="8"/>
        <v>0</v>
      </c>
      <c r="L57">
        <f t="shared" si="9"/>
        <v>0</v>
      </c>
      <c r="M57" t="e">
        <f t="shared" si="10"/>
        <v>#N/A</v>
      </c>
    </row>
    <row r="58" spans="1:13" x14ac:dyDescent="0.25">
      <c r="A58" s="23"/>
      <c r="B58" s="23"/>
      <c r="C58" s="44" t="str">
        <f t="shared" si="12"/>
        <v/>
      </c>
      <c r="D58" s="44" t="str">
        <f t="shared" si="5"/>
        <v/>
      </c>
      <c r="E58" s="19"/>
      <c r="G58">
        <f t="shared" si="6"/>
        <v>0</v>
      </c>
      <c r="H58">
        <f t="shared" si="7"/>
        <v>0</v>
      </c>
      <c r="I58">
        <f t="shared" si="13"/>
        <v>0</v>
      </c>
      <c r="J58">
        <f t="shared" si="14"/>
        <v>0</v>
      </c>
      <c r="K58">
        <f t="shared" si="8"/>
        <v>0</v>
      </c>
      <c r="L58">
        <f t="shared" si="9"/>
        <v>0</v>
      </c>
      <c r="M58" t="e">
        <f t="shared" si="10"/>
        <v>#N/A</v>
      </c>
    </row>
    <row r="59" spans="1:13" x14ac:dyDescent="0.25">
      <c r="A59" s="23"/>
      <c r="B59" s="23"/>
      <c r="C59" s="44" t="str">
        <f t="shared" si="12"/>
        <v/>
      </c>
      <c r="D59" s="44" t="str">
        <f t="shared" si="5"/>
        <v/>
      </c>
      <c r="E59" s="19"/>
      <c r="G59">
        <f t="shared" si="6"/>
        <v>0</v>
      </c>
      <c r="H59">
        <f t="shared" si="7"/>
        <v>0</v>
      </c>
      <c r="I59">
        <f t="shared" si="13"/>
        <v>0</v>
      </c>
      <c r="J59">
        <f t="shared" si="14"/>
        <v>0</v>
      </c>
      <c r="K59">
        <f t="shared" si="8"/>
        <v>0</v>
      </c>
      <c r="L59">
        <f t="shared" si="9"/>
        <v>0</v>
      </c>
      <c r="M59" t="e">
        <f t="shared" si="10"/>
        <v>#N/A</v>
      </c>
    </row>
    <row r="60" spans="1:13" x14ac:dyDescent="0.25">
      <c r="A60" s="23"/>
      <c r="B60" s="23"/>
      <c r="C60" s="44" t="str">
        <f t="shared" si="12"/>
        <v/>
      </c>
      <c r="D60" s="44" t="str">
        <f t="shared" si="5"/>
        <v/>
      </c>
      <c r="E60" s="19"/>
      <c r="G60">
        <f t="shared" si="6"/>
        <v>0</v>
      </c>
      <c r="H60">
        <f t="shared" si="7"/>
        <v>0</v>
      </c>
      <c r="I60">
        <f t="shared" si="13"/>
        <v>0</v>
      </c>
      <c r="J60">
        <f t="shared" si="14"/>
        <v>0</v>
      </c>
      <c r="K60">
        <f t="shared" si="8"/>
        <v>0</v>
      </c>
      <c r="L60">
        <f t="shared" si="9"/>
        <v>0</v>
      </c>
      <c r="M60" t="e">
        <f t="shared" si="10"/>
        <v>#N/A</v>
      </c>
    </row>
    <row r="61" spans="1:13" x14ac:dyDescent="0.25">
      <c r="A61" s="23"/>
      <c r="B61" s="23"/>
      <c r="C61" s="44" t="str">
        <f t="shared" si="12"/>
        <v/>
      </c>
      <c r="D61" s="44" t="str">
        <f t="shared" si="5"/>
        <v/>
      </c>
      <c r="E61" s="19"/>
      <c r="G61">
        <f t="shared" si="6"/>
        <v>0</v>
      </c>
      <c r="H61">
        <f t="shared" si="7"/>
        <v>0</v>
      </c>
      <c r="I61">
        <f t="shared" si="13"/>
        <v>0</v>
      </c>
      <c r="J61">
        <f t="shared" si="14"/>
        <v>0</v>
      </c>
      <c r="K61">
        <f t="shared" si="8"/>
        <v>0</v>
      </c>
      <c r="L61">
        <f t="shared" si="9"/>
        <v>0</v>
      </c>
      <c r="M61" t="e">
        <f t="shared" si="10"/>
        <v>#N/A</v>
      </c>
    </row>
    <row r="62" spans="1:13" x14ac:dyDescent="0.25">
      <c r="A62" s="23"/>
      <c r="B62" s="23"/>
      <c r="C62" s="44" t="str">
        <f t="shared" si="12"/>
        <v/>
      </c>
      <c r="D62" s="44" t="str">
        <f t="shared" si="5"/>
        <v/>
      </c>
      <c r="E62" s="19"/>
      <c r="G62">
        <f t="shared" si="6"/>
        <v>0</v>
      </c>
      <c r="H62">
        <f t="shared" si="7"/>
        <v>0</v>
      </c>
      <c r="I62">
        <f t="shared" si="13"/>
        <v>0</v>
      </c>
      <c r="J62">
        <f t="shared" si="14"/>
        <v>0</v>
      </c>
      <c r="K62">
        <f t="shared" si="8"/>
        <v>0</v>
      </c>
      <c r="L62">
        <f t="shared" si="9"/>
        <v>0</v>
      </c>
      <c r="M62" t="e">
        <f t="shared" si="10"/>
        <v>#N/A</v>
      </c>
    </row>
    <row r="63" spans="1:13" x14ac:dyDescent="0.25">
      <c r="A63" s="23"/>
      <c r="B63" s="23"/>
      <c r="C63" s="44" t="str">
        <f t="shared" si="12"/>
        <v/>
      </c>
      <c r="D63" s="44" t="str">
        <f t="shared" si="5"/>
        <v/>
      </c>
      <c r="E63" s="19"/>
      <c r="G63">
        <f t="shared" si="6"/>
        <v>0</v>
      </c>
      <c r="H63">
        <f t="shared" si="7"/>
        <v>0</v>
      </c>
      <c r="I63">
        <f t="shared" si="13"/>
        <v>0</v>
      </c>
      <c r="J63">
        <f t="shared" si="14"/>
        <v>0</v>
      </c>
      <c r="K63">
        <f t="shared" si="8"/>
        <v>0</v>
      </c>
      <c r="L63">
        <f t="shared" si="9"/>
        <v>0</v>
      </c>
      <c r="M63" t="e">
        <f t="shared" si="10"/>
        <v>#N/A</v>
      </c>
    </row>
    <row r="64" spans="1:13" x14ac:dyDescent="0.25">
      <c r="A64" s="23"/>
      <c r="B64" s="23"/>
      <c r="C64" s="44" t="str">
        <f t="shared" si="12"/>
        <v/>
      </c>
      <c r="D64" s="44" t="str">
        <f t="shared" si="5"/>
        <v/>
      </c>
      <c r="E64" s="19"/>
      <c r="G64">
        <f t="shared" si="6"/>
        <v>0</v>
      </c>
      <c r="H64">
        <f t="shared" si="7"/>
        <v>0</v>
      </c>
      <c r="I64">
        <f t="shared" si="13"/>
        <v>0</v>
      </c>
      <c r="J64">
        <f t="shared" si="14"/>
        <v>0</v>
      </c>
      <c r="K64">
        <f t="shared" si="8"/>
        <v>0</v>
      </c>
      <c r="L64">
        <f t="shared" si="9"/>
        <v>0</v>
      </c>
      <c r="M64" t="e">
        <f t="shared" si="10"/>
        <v>#N/A</v>
      </c>
    </row>
    <row r="65" spans="1:13" x14ac:dyDescent="0.25">
      <c r="A65" s="23"/>
      <c r="B65" s="23"/>
      <c r="C65" s="44" t="str">
        <f t="shared" si="12"/>
        <v/>
      </c>
      <c r="D65" s="44" t="str">
        <f t="shared" si="5"/>
        <v/>
      </c>
      <c r="E65" s="19"/>
      <c r="G65">
        <f t="shared" si="6"/>
        <v>0</v>
      </c>
      <c r="H65">
        <f t="shared" si="7"/>
        <v>0</v>
      </c>
      <c r="I65">
        <f t="shared" si="13"/>
        <v>0</v>
      </c>
      <c r="J65">
        <f t="shared" si="14"/>
        <v>0</v>
      </c>
      <c r="K65">
        <f t="shared" si="8"/>
        <v>0</v>
      </c>
      <c r="L65">
        <f t="shared" si="9"/>
        <v>0</v>
      </c>
      <c r="M65" t="e">
        <f t="shared" si="10"/>
        <v>#N/A</v>
      </c>
    </row>
    <row r="66" spans="1:13" x14ac:dyDescent="0.25">
      <c r="A66" s="23"/>
      <c r="B66" s="23"/>
      <c r="C66" s="44" t="str">
        <f t="shared" si="12"/>
        <v/>
      </c>
      <c r="D66" s="44" t="str">
        <f t="shared" si="5"/>
        <v/>
      </c>
      <c r="E66" s="19"/>
      <c r="G66">
        <f t="shared" si="6"/>
        <v>0</v>
      </c>
      <c r="H66">
        <f t="shared" si="7"/>
        <v>0</v>
      </c>
      <c r="I66">
        <f t="shared" ref="I66:I101" si="15">IF(ISBLANK(A66),0,G66^2)</f>
        <v>0</v>
      </c>
      <c r="J66">
        <f t="shared" ref="J66:J101" si="16">IF(ISBLANK(B66),0,H66^2)</f>
        <v>0</v>
      </c>
      <c r="K66">
        <f t="shared" si="8"/>
        <v>0</v>
      </c>
      <c r="L66">
        <f t="shared" si="9"/>
        <v>0</v>
      </c>
      <c r="M66" t="e">
        <f t="shared" si="10"/>
        <v>#N/A</v>
      </c>
    </row>
    <row r="67" spans="1:13" x14ac:dyDescent="0.25">
      <c r="A67" s="23"/>
      <c r="B67" s="23"/>
      <c r="C67" s="44" t="str">
        <f t="shared" si="12"/>
        <v/>
      </c>
      <c r="D67" s="44" t="str">
        <f t="shared" ref="D67:D101" si="17">IF(ISBLANK(A67),"",C67/$F$7)</f>
        <v/>
      </c>
      <c r="E67" s="19"/>
      <c r="G67">
        <f t="shared" ref="G67:G100" si="18">IF(ISBLANK(A67),0,A67-$F$17)</f>
        <v>0</v>
      </c>
      <c r="H67">
        <f t="shared" ref="H67:H100" si="19">IF(ISBLANK(B67),0,B67-$F$18)</f>
        <v>0</v>
      </c>
      <c r="I67">
        <f t="shared" si="15"/>
        <v>0</v>
      </c>
      <c r="J67">
        <f t="shared" si="16"/>
        <v>0</v>
      </c>
      <c r="K67">
        <f t="shared" ref="K67:K100" si="20">IF(ISBLANK(A67),0,G67*H67)</f>
        <v>0</v>
      </c>
      <c r="L67">
        <f t="shared" ref="L67:L100" si="21">IF(ISBLANK(A67),0,A67^2)</f>
        <v>0</v>
      </c>
      <c r="M67" t="e">
        <f t="shared" ref="M67:M100" si="22">IF(ISBLANK(A67),NA(),B67-($F$3+$F$5*A67))</f>
        <v>#N/A</v>
      </c>
    </row>
    <row r="68" spans="1:13" x14ac:dyDescent="0.25">
      <c r="A68" s="23"/>
      <c r="B68" s="23"/>
      <c r="C68" s="44" t="str">
        <f t="shared" si="12"/>
        <v/>
      </c>
      <c r="D68" s="44" t="str">
        <f t="shared" si="17"/>
        <v/>
      </c>
      <c r="E68" s="19"/>
      <c r="G68">
        <f t="shared" si="18"/>
        <v>0</v>
      </c>
      <c r="H68">
        <f t="shared" si="19"/>
        <v>0</v>
      </c>
      <c r="I68">
        <f t="shared" si="15"/>
        <v>0</v>
      </c>
      <c r="J68">
        <f t="shared" si="16"/>
        <v>0</v>
      </c>
      <c r="K68">
        <f t="shared" si="20"/>
        <v>0</v>
      </c>
      <c r="L68">
        <f t="shared" si="21"/>
        <v>0</v>
      </c>
      <c r="M68" t="e">
        <f t="shared" si="22"/>
        <v>#N/A</v>
      </c>
    </row>
    <row r="69" spans="1:13" x14ac:dyDescent="0.25">
      <c r="A69" s="23"/>
      <c r="B69" s="23"/>
      <c r="C69" s="44" t="str">
        <f t="shared" si="12"/>
        <v/>
      </c>
      <c r="D69" s="44" t="str">
        <f t="shared" si="17"/>
        <v/>
      </c>
      <c r="E69" s="19"/>
      <c r="G69">
        <f t="shared" si="18"/>
        <v>0</v>
      </c>
      <c r="H69">
        <f t="shared" si="19"/>
        <v>0</v>
      </c>
      <c r="I69">
        <f t="shared" si="15"/>
        <v>0</v>
      </c>
      <c r="J69">
        <f t="shared" si="16"/>
        <v>0</v>
      </c>
      <c r="K69">
        <f t="shared" si="20"/>
        <v>0</v>
      </c>
      <c r="L69">
        <f t="shared" si="21"/>
        <v>0</v>
      </c>
      <c r="M69" t="e">
        <f t="shared" si="22"/>
        <v>#N/A</v>
      </c>
    </row>
    <row r="70" spans="1:13" x14ac:dyDescent="0.25">
      <c r="A70" s="23"/>
      <c r="B70" s="23"/>
      <c r="C70" s="44" t="str">
        <f t="shared" si="12"/>
        <v/>
      </c>
      <c r="D70" s="44" t="str">
        <f t="shared" si="17"/>
        <v/>
      </c>
      <c r="E70" s="19"/>
      <c r="G70">
        <f t="shared" si="18"/>
        <v>0</v>
      </c>
      <c r="H70">
        <f t="shared" si="19"/>
        <v>0</v>
      </c>
      <c r="I70">
        <f t="shared" si="15"/>
        <v>0</v>
      </c>
      <c r="J70">
        <f t="shared" si="16"/>
        <v>0</v>
      </c>
      <c r="K70">
        <f t="shared" si="20"/>
        <v>0</v>
      </c>
      <c r="L70">
        <f t="shared" si="21"/>
        <v>0</v>
      </c>
      <c r="M70" t="e">
        <f t="shared" si="22"/>
        <v>#N/A</v>
      </c>
    </row>
    <row r="71" spans="1:13" x14ac:dyDescent="0.25">
      <c r="A71" s="23"/>
      <c r="B71" s="23"/>
      <c r="C71" s="44" t="str">
        <f t="shared" si="12"/>
        <v/>
      </c>
      <c r="D71" s="44" t="str">
        <f t="shared" si="17"/>
        <v/>
      </c>
      <c r="E71" s="19"/>
      <c r="G71">
        <f t="shared" si="18"/>
        <v>0</v>
      </c>
      <c r="H71">
        <f t="shared" si="19"/>
        <v>0</v>
      </c>
      <c r="I71">
        <f t="shared" si="15"/>
        <v>0</v>
      </c>
      <c r="J71">
        <f t="shared" si="16"/>
        <v>0</v>
      </c>
      <c r="K71">
        <f t="shared" si="20"/>
        <v>0</v>
      </c>
      <c r="L71">
        <f t="shared" si="21"/>
        <v>0</v>
      </c>
      <c r="M71" t="e">
        <f t="shared" si="22"/>
        <v>#N/A</v>
      </c>
    </row>
    <row r="72" spans="1:13" x14ac:dyDescent="0.25">
      <c r="A72" s="23"/>
      <c r="B72" s="23"/>
      <c r="C72" s="44" t="str">
        <f t="shared" si="12"/>
        <v/>
      </c>
      <c r="D72" s="44" t="str">
        <f t="shared" si="17"/>
        <v/>
      </c>
      <c r="E72" s="19"/>
      <c r="G72">
        <f t="shared" si="18"/>
        <v>0</v>
      </c>
      <c r="H72">
        <f t="shared" si="19"/>
        <v>0</v>
      </c>
      <c r="I72">
        <f t="shared" si="15"/>
        <v>0</v>
      </c>
      <c r="J72">
        <f t="shared" si="16"/>
        <v>0</v>
      </c>
      <c r="K72">
        <f t="shared" si="20"/>
        <v>0</v>
      </c>
      <c r="L72">
        <f t="shared" si="21"/>
        <v>0</v>
      </c>
      <c r="M72" t="e">
        <f t="shared" si="22"/>
        <v>#N/A</v>
      </c>
    </row>
    <row r="73" spans="1:13" x14ac:dyDescent="0.25">
      <c r="A73" s="23"/>
      <c r="B73" s="23"/>
      <c r="C73" s="44" t="str">
        <f t="shared" si="12"/>
        <v/>
      </c>
      <c r="D73" s="44" t="str">
        <f t="shared" si="17"/>
        <v/>
      </c>
      <c r="E73" s="19"/>
      <c r="G73">
        <f t="shared" si="18"/>
        <v>0</v>
      </c>
      <c r="H73">
        <f t="shared" si="19"/>
        <v>0</v>
      </c>
      <c r="I73">
        <f t="shared" si="15"/>
        <v>0</v>
      </c>
      <c r="J73">
        <f t="shared" si="16"/>
        <v>0</v>
      </c>
      <c r="K73">
        <f t="shared" si="20"/>
        <v>0</v>
      </c>
      <c r="L73">
        <f t="shared" si="21"/>
        <v>0</v>
      </c>
      <c r="M73" t="e">
        <f t="shared" si="22"/>
        <v>#N/A</v>
      </c>
    </row>
    <row r="74" spans="1:13" x14ac:dyDescent="0.25">
      <c r="A74" s="23"/>
      <c r="B74" s="23"/>
      <c r="C74" s="44" t="str">
        <f t="shared" si="12"/>
        <v/>
      </c>
      <c r="D74" s="44" t="str">
        <f t="shared" si="17"/>
        <v/>
      </c>
      <c r="E74" s="19"/>
      <c r="G74">
        <f t="shared" si="18"/>
        <v>0</v>
      </c>
      <c r="H74">
        <f t="shared" si="19"/>
        <v>0</v>
      </c>
      <c r="I74">
        <f t="shared" si="15"/>
        <v>0</v>
      </c>
      <c r="J74">
        <f t="shared" si="16"/>
        <v>0</v>
      </c>
      <c r="K74">
        <f t="shared" si="20"/>
        <v>0</v>
      </c>
      <c r="L74">
        <f t="shared" si="21"/>
        <v>0</v>
      </c>
      <c r="M74" t="e">
        <f t="shared" si="22"/>
        <v>#N/A</v>
      </c>
    </row>
    <row r="75" spans="1:13" x14ac:dyDescent="0.25">
      <c r="A75" s="23"/>
      <c r="B75" s="23"/>
      <c r="C75" s="44" t="str">
        <f t="shared" ref="C75:C101" si="23">IF(ISBLANK(A75),"",M75)</f>
        <v/>
      </c>
      <c r="D75" s="44" t="str">
        <f t="shared" si="17"/>
        <v/>
      </c>
      <c r="E75" s="19"/>
      <c r="G75">
        <f t="shared" si="18"/>
        <v>0</v>
      </c>
      <c r="H75">
        <f t="shared" si="19"/>
        <v>0</v>
      </c>
      <c r="I75">
        <f t="shared" si="15"/>
        <v>0</v>
      </c>
      <c r="J75">
        <f t="shared" si="16"/>
        <v>0</v>
      </c>
      <c r="K75">
        <f t="shared" si="20"/>
        <v>0</v>
      </c>
      <c r="L75">
        <f t="shared" si="21"/>
        <v>0</v>
      </c>
      <c r="M75" t="e">
        <f t="shared" si="22"/>
        <v>#N/A</v>
      </c>
    </row>
    <row r="76" spans="1:13" x14ac:dyDescent="0.25">
      <c r="A76" s="23"/>
      <c r="B76" s="23"/>
      <c r="C76" s="44" t="str">
        <f t="shared" si="23"/>
        <v/>
      </c>
      <c r="D76" s="44" t="str">
        <f t="shared" si="17"/>
        <v/>
      </c>
      <c r="E76" s="19"/>
      <c r="G76">
        <f t="shared" si="18"/>
        <v>0</v>
      </c>
      <c r="H76">
        <f t="shared" si="19"/>
        <v>0</v>
      </c>
      <c r="I76">
        <f t="shared" si="15"/>
        <v>0</v>
      </c>
      <c r="J76">
        <f t="shared" si="16"/>
        <v>0</v>
      </c>
      <c r="K76">
        <f t="shared" si="20"/>
        <v>0</v>
      </c>
      <c r="L76">
        <f t="shared" si="21"/>
        <v>0</v>
      </c>
      <c r="M76" t="e">
        <f t="shared" si="22"/>
        <v>#N/A</v>
      </c>
    </row>
    <row r="77" spans="1:13" x14ac:dyDescent="0.25">
      <c r="A77" s="23"/>
      <c r="B77" s="23"/>
      <c r="C77" s="44" t="str">
        <f t="shared" si="23"/>
        <v/>
      </c>
      <c r="D77" s="44" t="str">
        <f t="shared" si="17"/>
        <v/>
      </c>
      <c r="E77" s="19"/>
      <c r="G77">
        <f t="shared" si="18"/>
        <v>0</v>
      </c>
      <c r="H77">
        <f t="shared" si="19"/>
        <v>0</v>
      </c>
      <c r="I77">
        <f t="shared" si="15"/>
        <v>0</v>
      </c>
      <c r="J77">
        <f t="shared" si="16"/>
        <v>0</v>
      </c>
      <c r="K77">
        <f t="shared" si="20"/>
        <v>0</v>
      </c>
      <c r="L77">
        <f t="shared" si="21"/>
        <v>0</v>
      </c>
      <c r="M77" t="e">
        <f t="shared" si="22"/>
        <v>#N/A</v>
      </c>
    </row>
    <row r="78" spans="1:13" x14ac:dyDescent="0.25">
      <c r="A78" s="23"/>
      <c r="B78" s="23"/>
      <c r="C78" s="44" t="str">
        <f t="shared" si="23"/>
        <v/>
      </c>
      <c r="D78" s="44" t="str">
        <f t="shared" si="17"/>
        <v/>
      </c>
      <c r="E78" s="19"/>
      <c r="G78">
        <f t="shared" si="18"/>
        <v>0</v>
      </c>
      <c r="H78">
        <f t="shared" si="19"/>
        <v>0</v>
      </c>
      <c r="I78">
        <f t="shared" si="15"/>
        <v>0</v>
      </c>
      <c r="J78">
        <f t="shared" si="16"/>
        <v>0</v>
      </c>
      <c r="K78">
        <f t="shared" si="20"/>
        <v>0</v>
      </c>
      <c r="L78">
        <f t="shared" si="21"/>
        <v>0</v>
      </c>
      <c r="M78" t="e">
        <f t="shared" si="22"/>
        <v>#N/A</v>
      </c>
    </row>
    <row r="79" spans="1:13" x14ac:dyDescent="0.25">
      <c r="A79" s="23"/>
      <c r="B79" s="23"/>
      <c r="C79" s="44" t="str">
        <f t="shared" si="23"/>
        <v/>
      </c>
      <c r="D79" s="44" t="str">
        <f t="shared" si="17"/>
        <v/>
      </c>
      <c r="E79" s="19"/>
      <c r="G79">
        <f t="shared" si="18"/>
        <v>0</v>
      </c>
      <c r="H79">
        <f t="shared" si="19"/>
        <v>0</v>
      </c>
      <c r="I79">
        <f t="shared" si="15"/>
        <v>0</v>
      </c>
      <c r="J79">
        <f t="shared" si="16"/>
        <v>0</v>
      </c>
      <c r="K79">
        <f t="shared" si="20"/>
        <v>0</v>
      </c>
      <c r="L79">
        <f t="shared" si="21"/>
        <v>0</v>
      </c>
      <c r="M79" t="e">
        <f t="shared" si="22"/>
        <v>#N/A</v>
      </c>
    </row>
    <row r="80" spans="1:13" x14ac:dyDescent="0.25">
      <c r="A80" s="23"/>
      <c r="B80" s="23"/>
      <c r="C80" s="44" t="str">
        <f t="shared" si="23"/>
        <v/>
      </c>
      <c r="D80" s="44" t="str">
        <f t="shared" si="17"/>
        <v/>
      </c>
      <c r="E80" s="19"/>
      <c r="G80">
        <f t="shared" si="18"/>
        <v>0</v>
      </c>
      <c r="H80">
        <f t="shared" si="19"/>
        <v>0</v>
      </c>
      <c r="I80">
        <f t="shared" si="15"/>
        <v>0</v>
      </c>
      <c r="J80">
        <f t="shared" si="16"/>
        <v>0</v>
      </c>
      <c r="K80">
        <f t="shared" si="20"/>
        <v>0</v>
      </c>
      <c r="L80">
        <f t="shared" si="21"/>
        <v>0</v>
      </c>
      <c r="M80" t="e">
        <f t="shared" si="22"/>
        <v>#N/A</v>
      </c>
    </row>
    <row r="81" spans="1:13" x14ac:dyDescent="0.25">
      <c r="A81" s="23"/>
      <c r="B81" s="23"/>
      <c r="C81" s="44" t="str">
        <f t="shared" si="23"/>
        <v/>
      </c>
      <c r="D81" s="44" t="str">
        <f t="shared" si="17"/>
        <v/>
      </c>
      <c r="E81" s="19"/>
      <c r="G81">
        <f t="shared" si="18"/>
        <v>0</v>
      </c>
      <c r="H81">
        <f t="shared" si="19"/>
        <v>0</v>
      </c>
      <c r="I81">
        <f t="shared" si="15"/>
        <v>0</v>
      </c>
      <c r="J81">
        <f t="shared" si="16"/>
        <v>0</v>
      </c>
      <c r="K81">
        <f t="shared" si="20"/>
        <v>0</v>
      </c>
      <c r="L81">
        <f t="shared" si="21"/>
        <v>0</v>
      </c>
      <c r="M81" t="e">
        <f t="shared" si="22"/>
        <v>#N/A</v>
      </c>
    </row>
    <row r="82" spans="1:13" x14ac:dyDescent="0.25">
      <c r="A82" s="23"/>
      <c r="B82" s="23"/>
      <c r="C82" s="44" t="str">
        <f t="shared" si="23"/>
        <v/>
      </c>
      <c r="D82" s="44" t="str">
        <f t="shared" si="17"/>
        <v/>
      </c>
      <c r="E82" s="19"/>
      <c r="G82">
        <f t="shared" si="18"/>
        <v>0</v>
      </c>
      <c r="H82">
        <f t="shared" si="19"/>
        <v>0</v>
      </c>
      <c r="I82">
        <f t="shared" si="15"/>
        <v>0</v>
      </c>
      <c r="J82">
        <f t="shared" si="16"/>
        <v>0</v>
      </c>
      <c r="K82">
        <f t="shared" si="20"/>
        <v>0</v>
      </c>
      <c r="L82">
        <f t="shared" si="21"/>
        <v>0</v>
      </c>
      <c r="M82" t="e">
        <f t="shared" si="22"/>
        <v>#N/A</v>
      </c>
    </row>
    <row r="83" spans="1:13" x14ac:dyDescent="0.25">
      <c r="A83" s="23"/>
      <c r="B83" s="23"/>
      <c r="C83" s="44" t="str">
        <f t="shared" si="23"/>
        <v/>
      </c>
      <c r="D83" s="44" t="str">
        <f t="shared" si="17"/>
        <v/>
      </c>
      <c r="E83" s="19"/>
      <c r="G83">
        <f t="shared" si="18"/>
        <v>0</v>
      </c>
      <c r="H83">
        <f t="shared" si="19"/>
        <v>0</v>
      </c>
      <c r="I83">
        <f t="shared" si="15"/>
        <v>0</v>
      </c>
      <c r="J83">
        <f t="shared" si="16"/>
        <v>0</v>
      </c>
      <c r="K83">
        <f t="shared" si="20"/>
        <v>0</v>
      </c>
      <c r="L83">
        <f t="shared" si="21"/>
        <v>0</v>
      </c>
      <c r="M83" t="e">
        <f t="shared" si="22"/>
        <v>#N/A</v>
      </c>
    </row>
    <row r="84" spans="1:13" x14ac:dyDescent="0.25">
      <c r="A84" s="23"/>
      <c r="B84" s="23"/>
      <c r="C84" s="44" t="str">
        <f t="shared" si="23"/>
        <v/>
      </c>
      <c r="D84" s="44" t="str">
        <f t="shared" si="17"/>
        <v/>
      </c>
      <c r="E84" s="19"/>
      <c r="G84">
        <f t="shared" si="18"/>
        <v>0</v>
      </c>
      <c r="H84">
        <f t="shared" si="19"/>
        <v>0</v>
      </c>
      <c r="I84">
        <f t="shared" si="15"/>
        <v>0</v>
      </c>
      <c r="J84">
        <f t="shared" si="16"/>
        <v>0</v>
      </c>
      <c r="K84">
        <f t="shared" si="20"/>
        <v>0</v>
      </c>
      <c r="L84">
        <f t="shared" si="21"/>
        <v>0</v>
      </c>
      <c r="M84" t="e">
        <f t="shared" si="22"/>
        <v>#N/A</v>
      </c>
    </row>
    <row r="85" spans="1:13" x14ac:dyDescent="0.25">
      <c r="A85" s="23"/>
      <c r="B85" s="23"/>
      <c r="C85" s="44" t="str">
        <f t="shared" si="23"/>
        <v/>
      </c>
      <c r="D85" s="44" t="str">
        <f t="shared" si="17"/>
        <v/>
      </c>
      <c r="E85" s="19"/>
      <c r="G85">
        <f t="shared" si="18"/>
        <v>0</v>
      </c>
      <c r="H85">
        <f t="shared" si="19"/>
        <v>0</v>
      </c>
      <c r="I85">
        <f t="shared" si="15"/>
        <v>0</v>
      </c>
      <c r="J85">
        <f t="shared" si="16"/>
        <v>0</v>
      </c>
      <c r="K85">
        <f t="shared" si="20"/>
        <v>0</v>
      </c>
      <c r="L85">
        <f t="shared" si="21"/>
        <v>0</v>
      </c>
      <c r="M85" t="e">
        <f t="shared" si="22"/>
        <v>#N/A</v>
      </c>
    </row>
    <row r="86" spans="1:13" x14ac:dyDescent="0.25">
      <c r="A86" s="23"/>
      <c r="B86" s="23"/>
      <c r="C86" s="44" t="str">
        <f t="shared" si="23"/>
        <v/>
      </c>
      <c r="D86" s="44" t="str">
        <f t="shared" si="17"/>
        <v/>
      </c>
      <c r="E86" s="19"/>
      <c r="G86">
        <f t="shared" si="18"/>
        <v>0</v>
      </c>
      <c r="H86">
        <f t="shared" si="19"/>
        <v>0</v>
      </c>
      <c r="I86">
        <f t="shared" si="15"/>
        <v>0</v>
      </c>
      <c r="J86">
        <f t="shared" si="16"/>
        <v>0</v>
      </c>
      <c r="K86">
        <f t="shared" si="20"/>
        <v>0</v>
      </c>
      <c r="L86">
        <f t="shared" si="21"/>
        <v>0</v>
      </c>
      <c r="M86" t="e">
        <f t="shared" si="22"/>
        <v>#N/A</v>
      </c>
    </row>
    <row r="87" spans="1:13" x14ac:dyDescent="0.25">
      <c r="A87" s="23"/>
      <c r="B87" s="23"/>
      <c r="C87" s="44" t="str">
        <f t="shared" si="23"/>
        <v/>
      </c>
      <c r="D87" s="44" t="str">
        <f t="shared" si="17"/>
        <v/>
      </c>
      <c r="E87" s="19"/>
      <c r="G87">
        <f t="shared" si="18"/>
        <v>0</v>
      </c>
      <c r="H87">
        <f t="shared" si="19"/>
        <v>0</v>
      </c>
      <c r="I87">
        <f t="shared" si="15"/>
        <v>0</v>
      </c>
      <c r="J87">
        <f t="shared" si="16"/>
        <v>0</v>
      </c>
      <c r="K87">
        <f t="shared" si="20"/>
        <v>0</v>
      </c>
      <c r="L87">
        <f t="shared" si="21"/>
        <v>0</v>
      </c>
      <c r="M87" t="e">
        <f t="shared" si="22"/>
        <v>#N/A</v>
      </c>
    </row>
    <row r="88" spans="1:13" x14ac:dyDescent="0.25">
      <c r="A88" s="23"/>
      <c r="B88" s="23"/>
      <c r="C88" s="44" t="str">
        <f t="shared" si="23"/>
        <v/>
      </c>
      <c r="D88" s="44" t="str">
        <f t="shared" si="17"/>
        <v/>
      </c>
      <c r="E88" s="19"/>
      <c r="G88">
        <f t="shared" si="18"/>
        <v>0</v>
      </c>
      <c r="H88">
        <f t="shared" si="19"/>
        <v>0</v>
      </c>
      <c r="I88">
        <f t="shared" si="15"/>
        <v>0</v>
      </c>
      <c r="J88">
        <f t="shared" si="16"/>
        <v>0</v>
      </c>
      <c r="K88">
        <f t="shared" si="20"/>
        <v>0</v>
      </c>
      <c r="L88">
        <f t="shared" si="21"/>
        <v>0</v>
      </c>
      <c r="M88" t="e">
        <f t="shared" si="22"/>
        <v>#N/A</v>
      </c>
    </row>
    <row r="89" spans="1:13" x14ac:dyDescent="0.25">
      <c r="A89" s="23"/>
      <c r="B89" s="23"/>
      <c r="C89" s="44" t="str">
        <f t="shared" si="23"/>
        <v/>
      </c>
      <c r="D89" s="44" t="str">
        <f t="shared" si="17"/>
        <v/>
      </c>
      <c r="E89" s="19"/>
      <c r="G89">
        <f t="shared" si="18"/>
        <v>0</v>
      </c>
      <c r="H89">
        <f t="shared" si="19"/>
        <v>0</v>
      </c>
      <c r="I89">
        <f t="shared" si="15"/>
        <v>0</v>
      </c>
      <c r="J89">
        <f t="shared" si="16"/>
        <v>0</v>
      </c>
      <c r="K89">
        <f t="shared" si="20"/>
        <v>0</v>
      </c>
      <c r="L89">
        <f t="shared" si="21"/>
        <v>0</v>
      </c>
      <c r="M89" t="e">
        <f t="shared" si="22"/>
        <v>#N/A</v>
      </c>
    </row>
    <row r="90" spans="1:13" x14ac:dyDescent="0.25">
      <c r="A90" s="23"/>
      <c r="B90" s="23"/>
      <c r="C90" s="44" t="str">
        <f t="shared" si="23"/>
        <v/>
      </c>
      <c r="D90" s="44" t="str">
        <f t="shared" si="17"/>
        <v/>
      </c>
      <c r="E90" s="19"/>
      <c r="G90">
        <f t="shared" si="18"/>
        <v>0</v>
      </c>
      <c r="H90">
        <f t="shared" si="19"/>
        <v>0</v>
      </c>
      <c r="I90">
        <f t="shared" si="15"/>
        <v>0</v>
      </c>
      <c r="J90">
        <f t="shared" si="16"/>
        <v>0</v>
      </c>
      <c r="K90">
        <f t="shared" si="20"/>
        <v>0</v>
      </c>
      <c r="L90">
        <f t="shared" si="21"/>
        <v>0</v>
      </c>
      <c r="M90" t="e">
        <f t="shared" si="22"/>
        <v>#N/A</v>
      </c>
    </row>
    <row r="91" spans="1:13" x14ac:dyDescent="0.25">
      <c r="A91" s="23"/>
      <c r="B91" s="23"/>
      <c r="C91" s="44" t="str">
        <f t="shared" si="23"/>
        <v/>
      </c>
      <c r="D91" s="44" t="str">
        <f t="shared" si="17"/>
        <v/>
      </c>
      <c r="E91" s="19"/>
      <c r="G91">
        <f t="shared" si="18"/>
        <v>0</v>
      </c>
      <c r="H91">
        <f t="shared" si="19"/>
        <v>0</v>
      </c>
      <c r="I91">
        <f t="shared" si="15"/>
        <v>0</v>
      </c>
      <c r="J91">
        <f t="shared" si="16"/>
        <v>0</v>
      </c>
      <c r="K91">
        <f t="shared" si="20"/>
        <v>0</v>
      </c>
      <c r="L91">
        <f t="shared" si="21"/>
        <v>0</v>
      </c>
      <c r="M91" t="e">
        <f t="shared" si="22"/>
        <v>#N/A</v>
      </c>
    </row>
    <row r="92" spans="1:13" x14ac:dyDescent="0.25">
      <c r="A92" s="23"/>
      <c r="B92" s="23"/>
      <c r="C92" s="44" t="str">
        <f t="shared" si="23"/>
        <v/>
      </c>
      <c r="D92" s="44" t="str">
        <f t="shared" si="17"/>
        <v/>
      </c>
      <c r="E92" s="19"/>
      <c r="G92">
        <f t="shared" si="18"/>
        <v>0</v>
      </c>
      <c r="H92">
        <f t="shared" si="19"/>
        <v>0</v>
      </c>
      <c r="I92">
        <f t="shared" si="15"/>
        <v>0</v>
      </c>
      <c r="J92">
        <f t="shared" si="16"/>
        <v>0</v>
      </c>
      <c r="K92">
        <f t="shared" si="20"/>
        <v>0</v>
      </c>
      <c r="L92">
        <f t="shared" si="21"/>
        <v>0</v>
      </c>
      <c r="M92" t="e">
        <f t="shared" si="22"/>
        <v>#N/A</v>
      </c>
    </row>
    <row r="93" spans="1:13" x14ac:dyDescent="0.25">
      <c r="A93" s="23"/>
      <c r="B93" s="23"/>
      <c r="C93" s="44" t="str">
        <f t="shared" si="23"/>
        <v/>
      </c>
      <c r="D93" s="44" t="str">
        <f t="shared" si="17"/>
        <v/>
      </c>
      <c r="E93" s="19"/>
      <c r="G93">
        <f t="shared" si="18"/>
        <v>0</v>
      </c>
      <c r="H93">
        <f t="shared" si="19"/>
        <v>0</v>
      </c>
      <c r="I93">
        <f t="shared" si="15"/>
        <v>0</v>
      </c>
      <c r="J93">
        <f t="shared" si="16"/>
        <v>0</v>
      </c>
      <c r="K93">
        <f t="shared" si="20"/>
        <v>0</v>
      </c>
      <c r="L93">
        <f t="shared" si="21"/>
        <v>0</v>
      </c>
      <c r="M93" t="e">
        <f t="shared" si="22"/>
        <v>#N/A</v>
      </c>
    </row>
    <row r="94" spans="1:13" x14ac:dyDescent="0.25">
      <c r="A94" s="23"/>
      <c r="B94" s="23"/>
      <c r="C94" s="44" t="str">
        <f t="shared" si="23"/>
        <v/>
      </c>
      <c r="D94" s="44" t="str">
        <f t="shared" si="17"/>
        <v/>
      </c>
      <c r="E94" s="19"/>
      <c r="G94">
        <f t="shared" si="18"/>
        <v>0</v>
      </c>
      <c r="H94">
        <f t="shared" si="19"/>
        <v>0</v>
      </c>
      <c r="I94">
        <f t="shared" si="15"/>
        <v>0</v>
      </c>
      <c r="J94">
        <f t="shared" si="16"/>
        <v>0</v>
      </c>
      <c r="K94">
        <f t="shared" si="20"/>
        <v>0</v>
      </c>
      <c r="L94">
        <f t="shared" si="21"/>
        <v>0</v>
      </c>
      <c r="M94" t="e">
        <f t="shared" si="22"/>
        <v>#N/A</v>
      </c>
    </row>
    <row r="95" spans="1:13" x14ac:dyDescent="0.25">
      <c r="A95" s="23"/>
      <c r="B95" s="23"/>
      <c r="C95" s="44" t="str">
        <f t="shared" si="23"/>
        <v/>
      </c>
      <c r="D95" s="44" t="str">
        <f t="shared" si="17"/>
        <v/>
      </c>
      <c r="E95" s="19"/>
      <c r="G95">
        <f t="shared" si="18"/>
        <v>0</v>
      </c>
      <c r="H95">
        <f t="shared" si="19"/>
        <v>0</v>
      </c>
      <c r="I95">
        <f t="shared" si="15"/>
        <v>0</v>
      </c>
      <c r="J95">
        <f t="shared" si="16"/>
        <v>0</v>
      </c>
      <c r="K95">
        <f t="shared" si="20"/>
        <v>0</v>
      </c>
      <c r="L95">
        <f t="shared" si="21"/>
        <v>0</v>
      </c>
      <c r="M95" t="e">
        <f t="shared" si="22"/>
        <v>#N/A</v>
      </c>
    </row>
    <row r="96" spans="1:13" x14ac:dyDescent="0.25">
      <c r="A96" s="23"/>
      <c r="B96" s="23"/>
      <c r="C96" s="44" t="str">
        <f t="shared" si="23"/>
        <v/>
      </c>
      <c r="D96" s="44" t="str">
        <f t="shared" si="17"/>
        <v/>
      </c>
      <c r="E96" s="19"/>
      <c r="G96">
        <f t="shared" si="18"/>
        <v>0</v>
      </c>
      <c r="H96">
        <f t="shared" si="19"/>
        <v>0</v>
      </c>
      <c r="I96">
        <f t="shared" si="15"/>
        <v>0</v>
      </c>
      <c r="J96">
        <f t="shared" si="16"/>
        <v>0</v>
      </c>
      <c r="K96">
        <f t="shared" si="20"/>
        <v>0</v>
      </c>
      <c r="L96">
        <f t="shared" si="21"/>
        <v>0</v>
      </c>
      <c r="M96" t="e">
        <f t="shared" si="22"/>
        <v>#N/A</v>
      </c>
    </row>
    <row r="97" spans="1:13" x14ac:dyDescent="0.25">
      <c r="A97" s="23"/>
      <c r="B97" s="23"/>
      <c r="C97" s="44" t="str">
        <f t="shared" si="23"/>
        <v/>
      </c>
      <c r="D97" s="44" t="str">
        <f t="shared" si="17"/>
        <v/>
      </c>
      <c r="E97" s="19"/>
      <c r="G97">
        <f t="shared" si="18"/>
        <v>0</v>
      </c>
      <c r="H97">
        <f t="shared" si="19"/>
        <v>0</v>
      </c>
      <c r="I97">
        <f t="shared" si="15"/>
        <v>0</v>
      </c>
      <c r="J97">
        <f t="shared" si="16"/>
        <v>0</v>
      </c>
      <c r="K97">
        <f t="shared" si="20"/>
        <v>0</v>
      </c>
      <c r="L97">
        <f t="shared" si="21"/>
        <v>0</v>
      </c>
      <c r="M97" t="e">
        <f t="shared" si="22"/>
        <v>#N/A</v>
      </c>
    </row>
    <row r="98" spans="1:13" x14ac:dyDescent="0.25">
      <c r="A98" s="23"/>
      <c r="B98" s="23"/>
      <c r="C98" s="44" t="str">
        <f t="shared" si="23"/>
        <v/>
      </c>
      <c r="D98" s="44" t="str">
        <f t="shared" si="17"/>
        <v/>
      </c>
      <c r="E98" s="19"/>
      <c r="G98">
        <f t="shared" si="18"/>
        <v>0</v>
      </c>
      <c r="H98">
        <f t="shared" si="19"/>
        <v>0</v>
      </c>
      <c r="I98">
        <f t="shared" si="15"/>
        <v>0</v>
      </c>
      <c r="J98">
        <f t="shared" si="16"/>
        <v>0</v>
      </c>
      <c r="K98">
        <f t="shared" si="20"/>
        <v>0</v>
      </c>
      <c r="L98">
        <f t="shared" si="21"/>
        <v>0</v>
      </c>
      <c r="M98" t="e">
        <f t="shared" si="22"/>
        <v>#N/A</v>
      </c>
    </row>
    <row r="99" spans="1:13" x14ac:dyDescent="0.25">
      <c r="A99" s="23"/>
      <c r="B99" s="23"/>
      <c r="C99" s="44" t="str">
        <f t="shared" si="23"/>
        <v/>
      </c>
      <c r="D99" s="44" t="str">
        <f t="shared" si="17"/>
        <v/>
      </c>
      <c r="E99" s="19"/>
      <c r="G99">
        <f t="shared" si="18"/>
        <v>0</v>
      </c>
      <c r="H99">
        <f t="shared" si="19"/>
        <v>0</v>
      </c>
      <c r="I99">
        <f t="shared" si="15"/>
        <v>0</v>
      </c>
      <c r="J99">
        <f t="shared" si="16"/>
        <v>0</v>
      </c>
      <c r="K99">
        <f t="shared" si="20"/>
        <v>0</v>
      </c>
      <c r="L99">
        <f t="shared" si="21"/>
        <v>0</v>
      </c>
      <c r="M99" t="e">
        <f t="shared" si="22"/>
        <v>#N/A</v>
      </c>
    </row>
    <row r="100" spans="1:13" x14ac:dyDescent="0.25">
      <c r="A100" s="23"/>
      <c r="B100" s="23"/>
      <c r="C100" s="44" t="str">
        <f t="shared" si="23"/>
        <v/>
      </c>
      <c r="D100" s="44" t="str">
        <f t="shared" si="17"/>
        <v/>
      </c>
      <c r="E100" s="19"/>
      <c r="G100">
        <f t="shared" si="18"/>
        <v>0</v>
      </c>
      <c r="H100">
        <f t="shared" si="19"/>
        <v>0</v>
      </c>
      <c r="I100">
        <f t="shared" si="15"/>
        <v>0</v>
      </c>
      <c r="J100">
        <f t="shared" si="16"/>
        <v>0</v>
      </c>
      <c r="K100">
        <f t="shared" si="20"/>
        <v>0</v>
      </c>
      <c r="L100">
        <f t="shared" si="21"/>
        <v>0</v>
      </c>
      <c r="M100" t="e">
        <f t="shared" si="22"/>
        <v>#N/A</v>
      </c>
    </row>
    <row r="101" spans="1:13" x14ac:dyDescent="0.25">
      <c r="A101" s="23"/>
      <c r="B101" s="23"/>
      <c r="C101" s="44" t="str">
        <f t="shared" si="23"/>
        <v/>
      </c>
      <c r="D101" s="44" t="str">
        <f t="shared" si="17"/>
        <v/>
      </c>
      <c r="E101" s="19"/>
      <c r="G101">
        <f>IF(ISBLANK(A101),0,A101-$F$17)</f>
        <v>0</v>
      </c>
      <c r="H101">
        <f>IF(ISBLANK(B101),0,B101-$F$18)</f>
        <v>0</v>
      </c>
      <c r="I101">
        <f t="shared" si="15"/>
        <v>0</v>
      </c>
      <c r="J101">
        <f t="shared" si="16"/>
        <v>0</v>
      </c>
      <c r="K101">
        <f>IF(ISBLANK(A101),0,G101*H101)</f>
        <v>0</v>
      </c>
      <c r="L101">
        <f>IF(ISBLANK(A101),0,A101^2)</f>
        <v>0</v>
      </c>
      <c r="M101" t="e">
        <f>IF(ISBLANK(A101),NA(),B101-($F$3+$F$5*A101))</f>
        <v>#N/A</v>
      </c>
    </row>
    <row r="102" spans="1:13" x14ac:dyDescent="0.25">
      <c r="A102">
        <f>SUM(A2:A101)</f>
        <v>15090.400000000001</v>
      </c>
      <c r="B102">
        <f>SUM(B2:B101)</f>
        <v>15112.900000000001</v>
      </c>
      <c r="C102" s="45"/>
      <c r="D102" s="45"/>
      <c r="E102" s="12"/>
      <c r="G102">
        <f>SUM(G2:G101)</f>
        <v>-1.0231815394945443E-12</v>
      </c>
      <c r="H102">
        <f t="shared" ref="H102:M102" si="24">SUM(H2:H101)</f>
        <v>-7.9580786405131221E-13</v>
      </c>
      <c r="I102">
        <f t="shared" si="24"/>
        <v>4237993.0222222218</v>
      </c>
      <c r="J102">
        <f t="shared" si="24"/>
        <v>4255980.7497222209</v>
      </c>
      <c r="K102">
        <f t="shared" si="24"/>
        <v>4246964.0822222214</v>
      </c>
      <c r="L102">
        <f t="shared" si="24"/>
        <v>10563553.360000001</v>
      </c>
      <c r="M102" t="e">
        <f t="shared" si="24"/>
        <v>#N/A</v>
      </c>
    </row>
    <row r="103" spans="1:13" x14ac:dyDescent="0.25">
      <c r="F103" s="13" t="s">
        <v>18</v>
      </c>
    </row>
  </sheetData>
  <sheetProtection password="CC4C" sheet="1" objects="1" scenarios="1"/>
  <phoneticPr fontId="0" type="noConversion"/>
  <pageMargins left="0.78740157480314965" right="0.78740157480314965" top="0.98425196850393704" bottom="0.98425196850393704" header="0" footer="0"/>
  <pageSetup paperSize="9" scale="74" pageOrder="overThenDown" orientation="landscape" r:id="rId1"/>
  <headerFooter alignWithMargins="0"/>
  <rowBreaks count="1" manualBreakCount="1">
    <brk id="34" max="16383" man="1"/>
  </rowBreaks>
  <ignoredErrors>
    <ignoredError sqref="N4" formula="1"/>
    <ignoredError sqref="D2:D101 C2:C10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E6" sqref="E6:F41"/>
    </sheetView>
  </sheetViews>
  <sheetFormatPr baseColWidth="10" defaultRowHeight="13.2" x14ac:dyDescent="0.25"/>
  <cols>
    <col min="1" max="1" width="18.33203125" bestFit="1" customWidth="1"/>
    <col min="2" max="2" width="18.88671875" customWidth="1"/>
    <col min="3" max="3" width="13" bestFit="1" customWidth="1"/>
  </cols>
  <sheetData>
    <row r="1" spans="1:6" s="34" customFormat="1" x14ac:dyDescent="0.25">
      <c r="A1" s="31" t="s">
        <v>61</v>
      </c>
      <c r="B1" s="34" t="s">
        <v>59</v>
      </c>
      <c r="C1" s="34" t="s">
        <v>60</v>
      </c>
    </row>
    <row r="2" spans="1:6" x14ac:dyDescent="0.25">
      <c r="A2" s="31" t="s">
        <v>46</v>
      </c>
      <c r="E2" s="34" t="s">
        <v>56</v>
      </c>
    </row>
    <row r="3" spans="1:6" x14ac:dyDescent="0.25">
      <c r="A3" s="31" t="s">
        <v>47</v>
      </c>
      <c r="B3" s="31"/>
      <c r="C3" s="31"/>
      <c r="E3" s="34" t="s">
        <v>57</v>
      </c>
    </row>
    <row r="4" spans="1:6" x14ac:dyDescent="0.25">
      <c r="A4" s="31" t="s">
        <v>48</v>
      </c>
      <c r="B4" s="31" t="s">
        <v>49</v>
      </c>
      <c r="C4" s="31" t="s">
        <v>50</v>
      </c>
      <c r="E4" s="34" t="s">
        <v>58</v>
      </c>
    </row>
    <row r="5" spans="1:6" x14ac:dyDescent="0.25">
      <c r="A5" s="30">
        <v>-0.26232307377402903</v>
      </c>
      <c r="B5" s="30">
        <v>-0.26232307377398456</v>
      </c>
      <c r="C5" s="32">
        <f>100*(B5-A5)/A5</f>
        <v>-1.6950255841596373E-11</v>
      </c>
    </row>
    <row r="6" spans="1:6" x14ac:dyDescent="0.25">
      <c r="A6" s="31" t="s">
        <v>51</v>
      </c>
      <c r="B6" s="31"/>
      <c r="C6" s="31"/>
      <c r="E6">
        <v>0.2</v>
      </c>
      <c r="F6">
        <v>0.1</v>
      </c>
    </row>
    <row r="7" spans="1:6" x14ac:dyDescent="0.25">
      <c r="A7" s="31" t="s">
        <v>48</v>
      </c>
      <c r="B7" s="31" t="s">
        <v>49</v>
      </c>
      <c r="C7" s="31" t="s">
        <v>50</v>
      </c>
      <c r="E7">
        <v>337.4</v>
      </c>
      <c r="F7">
        <v>338.8</v>
      </c>
    </row>
    <row r="8" spans="1:6" x14ac:dyDescent="0.25">
      <c r="A8" s="30">
        <v>0.23281823430115201</v>
      </c>
      <c r="B8" s="30">
        <v>0.23281823430067644</v>
      </c>
      <c r="C8" s="32">
        <f>100*(B8-A8)/A8</f>
        <v>-2.0426408353524424E-10</v>
      </c>
      <c r="E8">
        <v>118.2</v>
      </c>
      <c r="F8">
        <v>118.1</v>
      </c>
    </row>
    <row r="9" spans="1:6" x14ac:dyDescent="0.25">
      <c r="A9" s="31" t="s">
        <v>52</v>
      </c>
      <c r="B9" s="31"/>
      <c r="C9" s="31"/>
      <c r="E9">
        <v>884.6</v>
      </c>
      <c r="F9">
        <v>888</v>
      </c>
    </row>
    <row r="10" spans="1:6" x14ac:dyDescent="0.25">
      <c r="A10" s="31" t="s">
        <v>48</v>
      </c>
      <c r="B10" s="31" t="s">
        <v>49</v>
      </c>
      <c r="C10" s="31" t="s">
        <v>50</v>
      </c>
      <c r="E10">
        <v>10.1</v>
      </c>
      <c r="F10">
        <v>9.1999999999999993</v>
      </c>
    </row>
    <row r="11" spans="1:6" x14ac:dyDescent="0.25">
      <c r="A11" s="30">
        <v>1.0021168180204501</v>
      </c>
      <c r="B11" s="30">
        <v>1.0021168180204543</v>
      </c>
      <c r="C11" s="32">
        <f>100*(B11-A11)/A11</f>
        <v>4.2099358255551214E-13</v>
      </c>
      <c r="E11">
        <v>226.5</v>
      </c>
      <c r="F11">
        <v>228.1</v>
      </c>
    </row>
    <row r="12" spans="1:6" x14ac:dyDescent="0.25">
      <c r="A12" s="31" t="s">
        <v>53</v>
      </c>
      <c r="B12" s="31"/>
      <c r="C12" s="31"/>
      <c r="E12">
        <v>666.3</v>
      </c>
      <c r="F12">
        <v>668.5</v>
      </c>
    </row>
    <row r="13" spans="1:6" x14ac:dyDescent="0.25">
      <c r="A13" s="31" t="s">
        <v>48</v>
      </c>
      <c r="B13" s="31" t="s">
        <v>49</v>
      </c>
      <c r="C13" s="31" t="s">
        <v>50</v>
      </c>
      <c r="E13">
        <v>996.3</v>
      </c>
      <c r="F13">
        <v>998.5</v>
      </c>
    </row>
    <row r="14" spans="1:6" x14ac:dyDescent="0.25">
      <c r="A14" s="30">
        <v>4.2979684819993702E-4</v>
      </c>
      <c r="B14" s="30">
        <v>4.2979684819905806E-4</v>
      </c>
      <c r="C14" s="32">
        <f>100*(B14-A14)/A14</f>
        <v>-2.0450654883004496E-10</v>
      </c>
      <c r="E14">
        <v>448.6</v>
      </c>
      <c r="F14">
        <v>449.1</v>
      </c>
    </row>
    <row r="15" spans="1:6" ht="15.6" x14ac:dyDescent="0.35">
      <c r="A15" s="33" t="s">
        <v>54</v>
      </c>
      <c r="B15" s="31"/>
      <c r="C15" s="31"/>
      <c r="E15">
        <v>777</v>
      </c>
      <c r="F15">
        <v>778.9</v>
      </c>
    </row>
    <row r="16" spans="1:6" x14ac:dyDescent="0.25">
      <c r="A16" s="31" t="s">
        <v>48</v>
      </c>
      <c r="B16" s="31" t="s">
        <v>49</v>
      </c>
      <c r="C16" s="31" t="s">
        <v>50</v>
      </c>
      <c r="E16">
        <v>558.20000000000005</v>
      </c>
      <c r="F16">
        <v>559.20000000000005</v>
      </c>
    </row>
    <row r="17" spans="1:6" x14ac:dyDescent="0.25">
      <c r="A17" s="30">
        <v>0.884796396144373</v>
      </c>
      <c r="B17" s="30">
        <v>0.88479639614256334</v>
      </c>
      <c r="C17" s="32">
        <f>100*(B17-A17)/A17</f>
        <v>-2.0452880889036995E-10</v>
      </c>
      <c r="E17">
        <v>0.4</v>
      </c>
      <c r="F17">
        <v>0.3</v>
      </c>
    </row>
    <row r="18" spans="1:6" ht="15.6" x14ac:dyDescent="0.25">
      <c r="A18" s="31" t="s">
        <v>55</v>
      </c>
      <c r="E18">
        <v>0.6</v>
      </c>
      <c r="F18">
        <v>0.1</v>
      </c>
    </row>
    <row r="19" spans="1:6" x14ac:dyDescent="0.25">
      <c r="A19" s="31" t="s">
        <v>48</v>
      </c>
      <c r="B19" s="31" t="s">
        <v>49</v>
      </c>
      <c r="C19" s="31" t="s">
        <v>50</v>
      </c>
      <c r="E19">
        <v>775.5</v>
      </c>
      <c r="F19">
        <v>778.1</v>
      </c>
    </row>
    <row r="20" spans="1:6" x14ac:dyDescent="0.25">
      <c r="A20" s="30">
        <v>0.99999374588371204</v>
      </c>
      <c r="B20" s="30">
        <v>0.9999937458837117</v>
      </c>
      <c r="C20" s="32">
        <f>100*(B20-A20)/A20</f>
        <v>-3.330689904397451E-14</v>
      </c>
      <c r="E20">
        <v>666.9</v>
      </c>
      <c r="F20">
        <v>668.8</v>
      </c>
    </row>
    <row r="21" spans="1:6" x14ac:dyDescent="0.25">
      <c r="E21">
        <v>338</v>
      </c>
      <c r="F21">
        <v>339.3</v>
      </c>
    </row>
    <row r="22" spans="1:6" x14ac:dyDescent="0.25">
      <c r="E22">
        <v>447.5</v>
      </c>
      <c r="F22">
        <v>448.9</v>
      </c>
    </row>
    <row r="23" spans="1:6" x14ac:dyDescent="0.25">
      <c r="E23">
        <v>11.6</v>
      </c>
      <c r="F23">
        <v>10.8</v>
      </c>
    </row>
    <row r="24" spans="1:6" x14ac:dyDescent="0.25">
      <c r="E24">
        <v>556</v>
      </c>
      <c r="F24">
        <v>557.70000000000005</v>
      </c>
    </row>
    <row r="25" spans="1:6" x14ac:dyDescent="0.25">
      <c r="E25">
        <v>228.1</v>
      </c>
      <c r="F25">
        <v>228.3</v>
      </c>
    </row>
    <row r="26" spans="1:6" x14ac:dyDescent="0.25">
      <c r="E26">
        <v>995.8</v>
      </c>
      <c r="F26">
        <v>998</v>
      </c>
    </row>
    <row r="27" spans="1:6" x14ac:dyDescent="0.25">
      <c r="E27">
        <v>887.6</v>
      </c>
      <c r="F27">
        <v>888.8</v>
      </c>
    </row>
    <row r="28" spans="1:6" x14ac:dyDescent="0.25">
      <c r="E28">
        <v>120.2</v>
      </c>
      <c r="F28">
        <v>119.6</v>
      </c>
    </row>
    <row r="29" spans="1:6" x14ac:dyDescent="0.25">
      <c r="E29">
        <v>0.3</v>
      </c>
      <c r="F29">
        <v>0.3</v>
      </c>
    </row>
    <row r="30" spans="1:6" x14ac:dyDescent="0.25">
      <c r="E30">
        <v>0.3</v>
      </c>
      <c r="F30">
        <v>0.6</v>
      </c>
    </row>
    <row r="31" spans="1:6" x14ac:dyDescent="0.25">
      <c r="E31">
        <v>556.79999999999995</v>
      </c>
      <c r="F31">
        <v>557.6</v>
      </c>
    </row>
    <row r="32" spans="1:6" x14ac:dyDescent="0.25">
      <c r="E32">
        <v>339.1</v>
      </c>
      <c r="F32">
        <v>339.3</v>
      </c>
    </row>
    <row r="33" spans="5:6" x14ac:dyDescent="0.25">
      <c r="E33">
        <v>887.2</v>
      </c>
      <c r="F33">
        <v>888</v>
      </c>
    </row>
    <row r="34" spans="5:6" x14ac:dyDescent="0.25">
      <c r="E34">
        <v>999</v>
      </c>
      <c r="F34">
        <v>998.5</v>
      </c>
    </row>
    <row r="35" spans="5:6" x14ac:dyDescent="0.25">
      <c r="E35">
        <v>779</v>
      </c>
      <c r="F35">
        <v>778.9</v>
      </c>
    </row>
    <row r="36" spans="5:6" x14ac:dyDescent="0.25">
      <c r="E36">
        <v>11.1</v>
      </c>
      <c r="F36">
        <v>10.199999999999999</v>
      </c>
    </row>
    <row r="37" spans="5:6" x14ac:dyDescent="0.25">
      <c r="E37">
        <v>118.3</v>
      </c>
      <c r="F37">
        <v>117.6</v>
      </c>
    </row>
    <row r="38" spans="5:6" x14ac:dyDescent="0.25">
      <c r="E38">
        <v>229.2</v>
      </c>
      <c r="F38">
        <v>228.9</v>
      </c>
    </row>
    <row r="39" spans="5:6" x14ac:dyDescent="0.25">
      <c r="E39">
        <v>669.1</v>
      </c>
      <c r="F39">
        <v>668.4</v>
      </c>
    </row>
    <row r="40" spans="5:6" x14ac:dyDescent="0.25">
      <c r="E40">
        <v>448.9</v>
      </c>
      <c r="F40">
        <v>449.2</v>
      </c>
    </row>
    <row r="41" spans="5:6" x14ac:dyDescent="0.25">
      <c r="E41">
        <v>0.5</v>
      </c>
      <c r="F41">
        <v>0.2</v>
      </c>
    </row>
  </sheetData>
  <sheetProtection password="CC4C" sheet="1" objects="1" scenarios="1"/>
  <phoneticPr fontId="8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Regresión Lineal Simple</vt:lpstr>
      <vt:lpstr>Resultados test</vt:lpstr>
    </vt:vector>
  </TitlesOfParts>
  <Company>QA-UV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Regresión Lineal Simple</dc:title>
  <dc:creator>Jorge Verdú</dc:creator>
  <cp:lastModifiedBy>JVA</cp:lastModifiedBy>
  <cp:lastPrinted>2010-06-08T10:16:38Z</cp:lastPrinted>
  <dcterms:created xsi:type="dcterms:W3CDTF">2005-12-02T17:43:13Z</dcterms:created>
  <dcterms:modified xsi:type="dcterms:W3CDTF">2016-05-29T10:51:50Z</dcterms:modified>
</cp:coreProperties>
</file>